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45.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46.xml" ContentType="application/vnd.ms-excel.controlproperties+xml"/>
  <Override PartName="/xl/drawings/drawing8.xml" ContentType="application/vnd.openxmlformats-officedocument.drawing+xml"/>
  <Override PartName="/xl/ctrlProps/ctrlProp47.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52.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53.xml" ContentType="application/vnd.ms-excel.controlproperties+xml"/>
  <Override PartName="/xl/drawings/drawing12.xml" ContentType="application/vnd.openxmlformats-officedocument.drawing+xml"/>
  <Override PartName="/xl/ctrlProps/ctrlProp5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workbookProtection workbookPassword="D3DC" lockStructure="1"/>
  <bookViews>
    <workbookView xWindow="-15" yWindow="4215" windowWidth="15330" windowHeight="3540" tabRatio="950"/>
  </bookViews>
  <sheets>
    <sheet name="Заявка" sheetId="14" r:id="rId1"/>
    <sheet name="Обязательства" sheetId="19" r:id="rId2"/>
    <sheet name="Баланс" sheetId="29" r:id="rId3"/>
    <sheet name="ОПУ" sheetId="30" r:id="rId4"/>
    <sheet name="ГЭП" sheetId="45" r:id="rId5"/>
    <sheet name="Портфель" sheetId="27" r:id="rId6"/>
    <sheet name="Продукты" sheetId="38" r:id="rId7"/>
    <sheet name="PAR" sheetId="26" r:id="rId8"/>
    <sheet name="График" sheetId="17" r:id="rId9"/>
    <sheet name="Памятка Заемщика" sheetId="37" r:id="rId10"/>
    <sheet name="Лист1" sheetId="35" r:id="rId11"/>
    <sheet name="Заключение УКП" sheetId="34" state="hidden" r:id="rId12"/>
    <sheet name="Коэф-ты" sheetId="31" state="hidden" r:id="rId13"/>
    <sheet name="Cash Flow" sheetId="41" state="hidden" r:id="rId14"/>
    <sheet name="PConcentration" sheetId="42" state="hidden" r:id="rId15"/>
    <sheet name="Graphs" sheetId="13" state="hidden" r:id="rId16"/>
    <sheet name="L" sheetId="28" state="hidden" r:id="rId17"/>
  </sheets>
  <externalReferences>
    <externalReference r:id="rId18"/>
    <externalReference r:id="rId19"/>
  </externalReferences>
  <definedNames>
    <definedName name="__MAIN__">'[1]1Q'!$A$1:$K$61</definedName>
    <definedName name="_xlnm._FilterDatabase" localSheetId="0" hidden="1">Заявка!$B$17:$D$17</definedName>
    <definedName name="Amortization">'[2]Lists (HIDE)'!$A$47:$A$50</definedName>
    <definedName name="Collateral">'[2]Lists (HIDE)'!$A$22:$A$29</definedName>
    <definedName name="intcalc">'[2]Lists (HIDE)'!$A$53:$A$55</definedName>
    <definedName name="Methodology">'[2]Lists (HIDE)'!$A$16:$A$19</definedName>
    <definedName name="Purpose">'[2]Lists (HIDE)'!$A$3:$A$10</definedName>
    <definedName name="repayment">'[2]Lists (HIDE)'!$A$32:$A$43</definedName>
    <definedName name="К_т">#REF!</definedName>
    <definedName name="_xlnm.Print_Area" localSheetId="0">Заявка!$A$1:$H$173</definedName>
    <definedName name="Ост.на.кон">#REF!</definedName>
    <definedName name="Флажок10" localSheetId="16">L!#REF!</definedName>
    <definedName name="Флажок11" localSheetId="16">L!$C$522</definedName>
    <definedName name="Флажок2" localSheetId="16">L!#REF!</definedName>
    <definedName name="Флажок5" localSheetId="16">L!#REF!</definedName>
    <definedName name="Флажок6" localSheetId="16">L!$C$516</definedName>
    <definedName name="Флажок7" localSheetId="16">L!$C$520</definedName>
    <definedName name="Флажок9" localSheetId="16">L!$C$524</definedName>
  </definedNames>
  <calcPr calcId="145621"/>
</workbook>
</file>

<file path=xl/calcChain.xml><?xml version="1.0" encoding="utf-8"?>
<calcChain xmlns="http://schemas.openxmlformats.org/spreadsheetml/2006/main">
  <c r="A22" i="34" l="1"/>
  <c r="F57" i="34" l="1"/>
  <c r="F50" i="34"/>
  <c r="D57" i="34"/>
  <c r="D50" i="34"/>
  <c r="A57" i="34"/>
  <c r="A54" i="34"/>
  <c r="A53" i="34"/>
  <c r="A50" i="34"/>
  <c r="A46" i="34"/>
  <c r="E39" i="34"/>
  <c r="A43" i="34"/>
  <c r="A44" i="34"/>
  <c r="A45" i="34"/>
  <c r="A42" i="34"/>
  <c r="A41" i="34"/>
  <c r="C39" i="34"/>
  <c r="A39" i="34"/>
  <c r="A37" i="34"/>
  <c r="A36" i="34" l="1"/>
  <c r="A35" i="34"/>
  <c r="A34" i="34"/>
  <c r="A31" i="34"/>
  <c r="A29" i="34"/>
  <c r="A28" i="34"/>
  <c r="A27" i="34"/>
  <c r="A26" i="34"/>
  <c r="A25" i="34"/>
  <c r="A24" i="34"/>
  <c r="A23" i="34"/>
  <c r="A18" i="34"/>
  <c r="A19" i="34"/>
  <c r="A20" i="34"/>
  <c r="A21" i="34"/>
  <c r="A17" i="34"/>
  <c r="A16" i="34"/>
  <c r="A15" i="34"/>
  <c r="A13" i="34"/>
  <c r="A12" i="34"/>
  <c r="A11" i="34"/>
  <c r="A10" i="34"/>
  <c r="A9" i="34"/>
  <c r="A8" i="34"/>
  <c r="A7" i="34"/>
  <c r="A6" i="34"/>
  <c r="A5" i="34"/>
  <c r="E8" i="34"/>
  <c r="E7" i="34"/>
  <c r="E6" i="34"/>
  <c r="E5" i="34"/>
  <c r="A4" i="34"/>
  <c r="A2" i="34"/>
  <c r="J7" i="30" l="1"/>
  <c r="Q7" i="30"/>
  <c r="B4" i="30"/>
  <c r="L44" i="13"/>
  <c r="M44" i="13"/>
  <c r="N44" i="13"/>
  <c r="S10" i="30"/>
  <c r="T10" i="30"/>
  <c r="U10" i="30"/>
  <c r="V10" i="30"/>
  <c r="S15" i="30"/>
  <c r="T15" i="30"/>
  <c r="U15" i="30"/>
  <c r="V15" i="30"/>
  <c r="S30" i="30"/>
  <c r="T30" i="30"/>
  <c r="U30" i="30"/>
  <c r="V30" i="30"/>
  <c r="S31" i="30"/>
  <c r="T31" i="30"/>
  <c r="U31" i="30"/>
  <c r="V31" i="30"/>
  <c r="S32" i="30"/>
  <c r="T32" i="30"/>
  <c r="R10" i="30"/>
  <c r="R15" i="30"/>
  <c r="R30" i="30"/>
  <c r="R31" i="30"/>
  <c r="R32" i="30"/>
  <c r="Q7" i="29"/>
  <c r="M10" i="30"/>
  <c r="N10" i="30"/>
  <c r="O10" i="30"/>
  <c r="M15" i="30"/>
  <c r="N15" i="30"/>
  <c r="O15" i="30"/>
  <c r="M30" i="30"/>
  <c r="N30" i="30"/>
  <c r="O30" i="30"/>
  <c r="M31" i="30"/>
  <c r="N31" i="30"/>
  <c r="O31" i="30"/>
  <c r="M32" i="30"/>
  <c r="L10" i="30"/>
  <c r="L15" i="30"/>
  <c r="L30" i="30"/>
  <c r="L31" i="30"/>
  <c r="L32" i="30"/>
  <c r="K10" i="30"/>
  <c r="K15" i="30"/>
  <c r="K30" i="30"/>
  <c r="K31" i="30"/>
  <c r="K32" i="30"/>
  <c r="J7" i="29"/>
  <c r="S9" i="29"/>
  <c r="T9" i="29"/>
  <c r="U9" i="29"/>
  <c r="V9" i="29"/>
  <c r="S10" i="29"/>
  <c r="T10" i="29"/>
  <c r="U10" i="29"/>
  <c r="V10" i="29"/>
  <c r="S11" i="29"/>
  <c r="K44" i="13" s="1"/>
  <c r="T11" i="29"/>
  <c r="U11" i="29"/>
  <c r="V11" i="29"/>
  <c r="S12" i="29"/>
  <c r="T12" i="29"/>
  <c r="U12" i="29"/>
  <c r="V12" i="29"/>
  <c r="S14" i="29"/>
  <c r="T14" i="29"/>
  <c r="U14" i="29"/>
  <c r="V14" i="29"/>
  <c r="S15" i="29"/>
  <c r="T15" i="29"/>
  <c r="U15" i="29"/>
  <c r="V15" i="29"/>
  <c r="S17" i="29"/>
  <c r="T17" i="29"/>
  <c r="U17" i="29"/>
  <c r="V17" i="29"/>
  <c r="S18" i="29"/>
  <c r="T18" i="29"/>
  <c r="U18" i="29"/>
  <c r="V18" i="29"/>
  <c r="S19" i="29"/>
  <c r="T19" i="29"/>
  <c r="U19" i="29"/>
  <c r="V19" i="29"/>
  <c r="S23" i="29"/>
  <c r="T23" i="29"/>
  <c r="U23" i="29"/>
  <c r="V23" i="29"/>
  <c r="S24" i="29"/>
  <c r="T24" i="29"/>
  <c r="U24" i="29"/>
  <c r="V24" i="29"/>
  <c r="S25" i="29"/>
  <c r="T25" i="29"/>
  <c r="U25" i="29"/>
  <c r="V25" i="29"/>
  <c r="S26" i="29"/>
  <c r="T26" i="29"/>
  <c r="U26" i="29"/>
  <c r="V26" i="29"/>
  <c r="S27" i="29"/>
  <c r="T27" i="29"/>
  <c r="U27" i="29"/>
  <c r="V27" i="29"/>
  <c r="S28" i="29"/>
  <c r="T28" i="29"/>
  <c r="U28" i="29"/>
  <c r="V28" i="29"/>
  <c r="S29" i="29"/>
  <c r="T29" i="29"/>
  <c r="U29" i="29"/>
  <c r="V29" i="29"/>
  <c r="S31" i="29"/>
  <c r="T31" i="29"/>
  <c r="U31" i="29"/>
  <c r="V31" i="29"/>
  <c r="S32" i="29"/>
  <c r="T32" i="29"/>
  <c r="U32" i="29"/>
  <c r="V32" i="29"/>
  <c r="S33" i="29"/>
  <c r="T33" i="29"/>
  <c r="U33" i="29"/>
  <c r="V33" i="29"/>
  <c r="S35" i="29"/>
  <c r="T35" i="29"/>
  <c r="U35" i="29"/>
  <c r="V35" i="29"/>
  <c r="S36" i="29"/>
  <c r="T36" i="29"/>
  <c r="U36" i="29"/>
  <c r="V36" i="29"/>
  <c r="S38" i="29"/>
  <c r="T38" i="29"/>
  <c r="U38" i="29"/>
  <c r="V38" i="29"/>
  <c r="S39" i="29"/>
  <c r="T39" i="29"/>
  <c r="U39" i="29"/>
  <c r="V39" i="29"/>
  <c r="S41" i="29"/>
  <c r="T41" i="29"/>
  <c r="U41" i="29"/>
  <c r="V41" i="29"/>
  <c r="S42" i="29"/>
  <c r="T42" i="29"/>
  <c r="U42" i="29"/>
  <c r="V42" i="29"/>
  <c r="S43" i="29"/>
  <c r="T43" i="29"/>
  <c r="U43" i="29"/>
  <c r="V43" i="29"/>
  <c r="S44" i="29"/>
  <c r="T44" i="29"/>
  <c r="U44" i="29"/>
  <c r="V44" i="29"/>
  <c r="R10" i="29"/>
  <c r="R11" i="29"/>
  <c r="J44" i="13" s="1"/>
  <c r="R12" i="29"/>
  <c r="R14" i="29"/>
  <c r="R15" i="29"/>
  <c r="R17" i="29"/>
  <c r="R18" i="29"/>
  <c r="R19" i="29"/>
  <c r="R23" i="29"/>
  <c r="R24" i="29"/>
  <c r="R25" i="29"/>
  <c r="R26" i="29"/>
  <c r="R27" i="29"/>
  <c r="R28" i="29"/>
  <c r="R29" i="29"/>
  <c r="R31" i="29"/>
  <c r="R32" i="29"/>
  <c r="R33" i="29"/>
  <c r="R35" i="29"/>
  <c r="R36" i="29"/>
  <c r="R38" i="29"/>
  <c r="R39" i="29"/>
  <c r="R41" i="29"/>
  <c r="R42" i="29"/>
  <c r="R43" i="29"/>
  <c r="R44" i="29"/>
  <c r="R9" i="29"/>
  <c r="R8" i="29"/>
  <c r="S8" i="29"/>
  <c r="T8" i="29"/>
  <c r="U8" i="29"/>
  <c r="V8" i="29"/>
  <c r="E8" i="41" l="1"/>
  <c r="F8" i="41"/>
  <c r="G8" i="41"/>
  <c r="H8" i="41"/>
  <c r="D8" i="41"/>
  <c r="E50" i="41"/>
  <c r="F50" i="41"/>
  <c r="G50" i="41"/>
  <c r="H50" i="41"/>
  <c r="D50" i="41"/>
  <c r="E19" i="41"/>
  <c r="F19" i="41"/>
  <c r="G19" i="41"/>
  <c r="H19" i="41"/>
  <c r="D19" i="41"/>
  <c r="E12" i="41"/>
  <c r="F12" i="41"/>
  <c r="G12" i="41"/>
  <c r="H12" i="41"/>
  <c r="D12" i="41"/>
  <c r="H44" i="41" l="1"/>
  <c r="H46" i="41" s="1"/>
  <c r="G44" i="41"/>
  <c r="G46" i="41" s="1"/>
  <c r="F44" i="41"/>
  <c r="F45" i="41" s="1"/>
  <c r="E44" i="41"/>
  <c r="E45" i="41" s="1"/>
  <c r="D44" i="41"/>
  <c r="D46" i="41" s="1"/>
  <c r="E39" i="41"/>
  <c r="E47" i="41" s="1"/>
  <c r="F39" i="41"/>
  <c r="F47" i="41" s="1"/>
  <c r="G39" i="41"/>
  <c r="G47" i="41" s="1"/>
  <c r="H39" i="41"/>
  <c r="H47" i="41" s="1"/>
  <c r="D39" i="41"/>
  <c r="D47" i="41" s="1"/>
  <c r="H29" i="41"/>
  <c r="A1" i="41"/>
  <c r="D11" i="41"/>
  <c r="E35" i="41"/>
  <c r="F35" i="41"/>
  <c r="G35" i="41"/>
  <c r="H35" i="41"/>
  <c r="D35" i="41"/>
  <c r="H45" i="41" l="1"/>
  <c r="G45" i="41"/>
  <c r="F46" i="41"/>
  <c r="F48" i="41" s="1"/>
  <c r="D45" i="41"/>
  <c r="E46" i="41"/>
  <c r="E48" i="41" s="1"/>
  <c r="D48" i="41"/>
  <c r="G48" i="41"/>
  <c r="H48" i="41"/>
  <c r="E28" i="41"/>
  <c r="D28" i="41"/>
  <c r="D34" i="41"/>
  <c r="G29" i="41"/>
  <c r="F29" i="41"/>
  <c r="E29" i="41"/>
  <c r="D29" i="41"/>
  <c r="H23" i="41"/>
  <c r="G23" i="41"/>
  <c r="F23" i="41"/>
  <c r="E23" i="41"/>
  <c r="D23" i="41"/>
  <c r="H27" i="41"/>
  <c r="G27" i="41"/>
  <c r="F27" i="41"/>
  <c r="E27" i="41"/>
  <c r="D27" i="41"/>
  <c r="H26" i="41"/>
  <c r="G26" i="41"/>
  <c r="F26" i="41"/>
  <c r="E26" i="41"/>
  <c r="D26" i="41"/>
  <c r="H18" i="41"/>
  <c r="G18" i="41"/>
  <c r="F18" i="41"/>
  <c r="E18" i="41"/>
  <c r="D18" i="41"/>
  <c r="H14" i="41"/>
  <c r="G14" i="41"/>
  <c r="F14" i="41"/>
  <c r="E14" i="41"/>
  <c r="D14" i="41"/>
  <c r="H13" i="41"/>
  <c r="G13" i="41"/>
  <c r="F13" i="41"/>
  <c r="E13" i="41"/>
  <c r="D13" i="41"/>
  <c r="H11" i="41"/>
  <c r="G11" i="41"/>
  <c r="F11" i="41"/>
  <c r="E11" i="41"/>
  <c r="H9" i="41"/>
  <c r="G9" i="41"/>
  <c r="F9" i="41"/>
  <c r="E9" i="41"/>
  <c r="D9" i="41"/>
  <c r="H34" i="41"/>
  <c r="G34" i="41"/>
  <c r="F34" i="41"/>
  <c r="E34" i="41"/>
  <c r="F28" i="41" l="1"/>
  <c r="D20" i="41"/>
  <c r="E20" i="41"/>
  <c r="F20" i="41"/>
  <c r="G20" i="41"/>
  <c r="H20" i="41"/>
  <c r="A44" i="38"/>
  <c r="A43" i="38"/>
  <c r="A42" i="38"/>
  <c r="A41" i="38"/>
  <c r="A40" i="38"/>
  <c r="A36" i="38"/>
  <c r="A35" i="38"/>
  <c r="A34" i="38"/>
  <c r="A33" i="38"/>
  <c r="A31" i="38"/>
  <c r="A30" i="38"/>
  <c r="A29" i="38"/>
  <c r="A28" i="38"/>
  <c r="A27" i="38"/>
  <c r="A26" i="38"/>
  <c r="A25" i="38"/>
  <c r="A24" i="38"/>
  <c r="A23" i="38"/>
  <c r="A22" i="38"/>
  <c r="A21" i="38"/>
  <c r="A20" i="38"/>
  <c r="A19" i="38"/>
  <c r="A18" i="38"/>
  <c r="A17" i="38"/>
  <c r="A16" i="38"/>
  <c r="A15" i="38"/>
  <c r="A14" i="38"/>
  <c r="A13" i="38"/>
  <c r="A12" i="38"/>
  <c r="A11" i="38"/>
  <c r="A10" i="38"/>
  <c r="A9" i="38"/>
  <c r="A8" i="38"/>
  <c r="K6" i="38"/>
  <c r="J6" i="38"/>
  <c r="I6" i="38"/>
  <c r="H6" i="38"/>
  <c r="G6" i="38"/>
  <c r="F6" i="38"/>
  <c r="E6" i="38"/>
  <c r="D6" i="38"/>
  <c r="C6" i="38"/>
  <c r="B6" i="38"/>
  <c r="A6" i="38"/>
  <c r="A4" i="38"/>
  <c r="A2" i="38"/>
  <c r="A160" i="14"/>
  <c r="A175" i="14"/>
  <c r="A173" i="14"/>
  <c r="A174" i="14"/>
  <c r="H6" i="26"/>
  <c r="G6" i="26"/>
  <c r="E6" i="26"/>
  <c r="C6" i="26"/>
  <c r="B13" i="26"/>
  <c r="B12" i="26"/>
  <c r="B11" i="26"/>
  <c r="B10" i="26"/>
  <c r="B9" i="26"/>
  <c r="B8" i="26"/>
  <c r="B7" i="26"/>
  <c r="B6" i="26"/>
  <c r="A4" i="26"/>
  <c r="H7" i="26"/>
  <c r="G7" i="26"/>
  <c r="E7" i="26"/>
  <c r="F8" i="26" s="1"/>
  <c r="C7" i="26"/>
  <c r="D10" i="26" s="1"/>
  <c r="A118" i="14"/>
  <c r="A117" i="14"/>
  <c r="G30" i="45"/>
  <c r="F30" i="45"/>
  <c r="E30" i="45"/>
  <c r="B30" i="45"/>
  <c r="B45" i="45"/>
  <c r="B46" i="45"/>
  <c r="B44" i="45"/>
  <c r="B43" i="45"/>
  <c r="B28" i="45"/>
  <c r="B42" i="45"/>
  <c r="B40" i="45"/>
  <c r="B41" i="45"/>
  <c r="B39" i="45"/>
  <c r="B38" i="45"/>
  <c r="B33" i="45"/>
  <c r="B34" i="45"/>
  <c r="B35" i="45"/>
  <c r="B36" i="45"/>
  <c r="B37" i="45"/>
  <c r="B32" i="45"/>
  <c r="B31" i="45"/>
  <c r="B10" i="45"/>
  <c r="B27" i="45"/>
  <c r="B8" i="45"/>
  <c r="B2" i="45"/>
  <c r="K10" i="45"/>
  <c r="J10" i="45"/>
  <c r="I10" i="45"/>
  <c r="H10" i="45"/>
  <c r="G10" i="45"/>
  <c r="F10" i="45"/>
  <c r="E10" i="45"/>
  <c r="D10" i="45"/>
  <c r="C10" i="45"/>
  <c r="B24" i="45"/>
  <c r="B23" i="45"/>
  <c r="B20" i="45"/>
  <c r="B21" i="45"/>
  <c r="B22" i="45"/>
  <c r="B19" i="45"/>
  <c r="B17" i="45"/>
  <c r="B18" i="45"/>
  <c r="B13" i="45"/>
  <c r="B14" i="45"/>
  <c r="B15" i="45"/>
  <c r="B16" i="45"/>
  <c r="B12" i="45"/>
  <c r="B11" i="45"/>
  <c r="B7" i="45"/>
  <c r="B4" i="45"/>
  <c r="I23" i="45"/>
  <c r="G44" i="45"/>
  <c r="G40" i="45"/>
  <c r="G41" i="45"/>
  <c r="G39" i="45"/>
  <c r="D42" i="45"/>
  <c r="E42" i="45"/>
  <c r="F42" i="45"/>
  <c r="C42" i="45"/>
  <c r="G33" i="45"/>
  <c r="G34" i="45"/>
  <c r="G35" i="45"/>
  <c r="G36" i="45"/>
  <c r="G32" i="45"/>
  <c r="D37" i="45"/>
  <c r="E37" i="45"/>
  <c r="F37" i="45"/>
  <c r="C37" i="45"/>
  <c r="K20" i="45"/>
  <c r="K21" i="45"/>
  <c r="K19" i="45"/>
  <c r="D22" i="45"/>
  <c r="E22" i="45"/>
  <c r="F22" i="45"/>
  <c r="G22" i="45"/>
  <c r="H22" i="45"/>
  <c r="H23" i="45" s="1"/>
  <c r="J22" i="45"/>
  <c r="J23" i="45" s="1"/>
  <c r="C22" i="45"/>
  <c r="K13" i="45"/>
  <c r="K14" i="45"/>
  <c r="K15" i="45"/>
  <c r="K16" i="45"/>
  <c r="K12" i="45"/>
  <c r="D17" i="45"/>
  <c r="E17" i="45"/>
  <c r="E23" i="45" s="1"/>
  <c r="F17" i="45"/>
  <c r="F23" i="45" s="1"/>
  <c r="G17" i="45"/>
  <c r="H17" i="45"/>
  <c r="J17" i="45"/>
  <c r="C17" i="45"/>
  <c r="B114" i="42"/>
  <c r="A124" i="42"/>
  <c r="I113" i="42"/>
  <c r="H113" i="42"/>
  <c r="G113" i="42"/>
  <c r="F113" i="42"/>
  <c r="E113" i="42"/>
  <c r="D113" i="42"/>
  <c r="C113" i="42"/>
  <c r="B113" i="42"/>
  <c r="A113" i="42"/>
  <c r="A111" i="42"/>
  <c r="A108" i="42"/>
  <c r="H123" i="42"/>
  <c r="H122" i="42"/>
  <c r="H121" i="42"/>
  <c r="H120" i="42"/>
  <c r="H119" i="42"/>
  <c r="H118" i="42"/>
  <c r="H117" i="42"/>
  <c r="H116" i="42"/>
  <c r="H115" i="42"/>
  <c r="H114" i="42"/>
  <c r="F123" i="42"/>
  <c r="F122" i="42"/>
  <c r="F121" i="42"/>
  <c r="F120" i="42"/>
  <c r="F119" i="42"/>
  <c r="F118" i="42"/>
  <c r="F117" i="42"/>
  <c r="F116" i="42"/>
  <c r="F115" i="42"/>
  <c r="F114" i="42"/>
  <c r="D123" i="42"/>
  <c r="D122" i="42"/>
  <c r="D121" i="42"/>
  <c r="D120" i="42"/>
  <c r="D119" i="42"/>
  <c r="D118" i="42"/>
  <c r="D117" i="42"/>
  <c r="D116" i="42"/>
  <c r="D115" i="42"/>
  <c r="D114" i="42"/>
  <c r="B123" i="42"/>
  <c r="B122" i="42"/>
  <c r="B121" i="42"/>
  <c r="B120" i="42"/>
  <c r="B119" i="42"/>
  <c r="B118" i="42"/>
  <c r="B117" i="42"/>
  <c r="B116" i="42"/>
  <c r="B115" i="42"/>
  <c r="A114" i="42"/>
  <c r="A123" i="42"/>
  <c r="A122" i="42"/>
  <c r="A121" i="42"/>
  <c r="A120" i="42"/>
  <c r="A119" i="42"/>
  <c r="A118" i="42"/>
  <c r="A117" i="42"/>
  <c r="A116" i="42"/>
  <c r="A115" i="42"/>
  <c r="B42" i="38"/>
  <c r="C42" i="38"/>
  <c r="B41" i="38"/>
  <c r="C41" i="38"/>
  <c r="H33" i="30"/>
  <c r="G33" i="30"/>
  <c r="F33" i="30"/>
  <c r="E33" i="30"/>
  <c r="D33" i="30"/>
  <c r="C33" i="30"/>
  <c r="B9" i="29"/>
  <c r="L106" i="27"/>
  <c r="J106" i="27"/>
  <c r="H106" i="27"/>
  <c r="F106" i="27"/>
  <c r="D106" i="27"/>
  <c r="B106" i="27"/>
  <c r="M106" i="27"/>
  <c r="K106" i="27"/>
  <c r="I106" i="27"/>
  <c r="G106" i="27"/>
  <c r="E106" i="27"/>
  <c r="C106" i="27"/>
  <c r="C90" i="27"/>
  <c r="B90" i="27"/>
  <c r="A109" i="27"/>
  <c r="A55" i="31"/>
  <c r="I52" i="31"/>
  <c r="H52" i="31"/>
  <c r="G52" i="31"/>
  <c r="F52" i="31"/>
  <c r="E52" i="31"/>
  <c r="D52" i="31"/>
  <c r="C52" i="31"/>
  <c r="A52" i="31"/>
  <c r="H159" i="13"/>
  <c r="H160" i="13"/>
  <c r="H161" i="13"/>
  <c r="H162" i="13"/>
  <c r="H163" i="13"/>
  <c r="H164" i="13"/>
  <c r="H165" i="13"/>
  <c r="H166" i="13"/>
  <c r="H167" i="13"/>
  <c r="H168" i="13"/>
  <c r="H158" i="13"/>
  <c r="H138" i="13"/>
  <c r="A158" i="13"/>
  <c r="A138" i="13"/>
  <c r="J140" i="13"/>
  <c r="K140" i="13"/>
  <c r="L140" i="13"/>
  <c r="M140" i="13"/>
  <c r="N140" i="13"/>
  <c r="I140" i="13"/>
  <c r="H139" i="13"/>
  <c r="H140" i="13"/>
  <c r="H141" i="13"/>
  <c r="H118" i="13"/>
  <c r="A118" i="13"/>
  <c r="N119" i="13"/>
  <c r="M119" i="13"/>
  <c r="L119" i="13"/>
  <c r="K119" i="13"/>
  <c r="J119" i="13"/>
  <c r="I119" i="13"/>
  <c r="N120" i="13"/>
  <c r="M120" i="13"/>
  <c r="L120" i="13"/>
  <c r="K120" i="13"/>
  <c r="J120" i="13"/>
  <c r="I120" i="13"/>
  <c r="H119" i="13"/>
  <c r="H120" i="13"/>
  <c r="H98" i="13"/>
  <c r="A98" i="13"/>
  <c r="H99" i="13"/>
  <c r="H100" i="13"/>
  <c r="H84" i="13"/>
  <c r="H80" i="13"/>
  <c r="H81" i="13"/>
  <c r="H82" i="13"/>
  <c r="H83" i="13"/>
  <c r="H79" i="13"/>
  <c r="H64" i="13"/>
  <c r="H62" i="13"/>
  <c r="H63" i="13"/>
  <c r="H61" i="13"/>
  <c r="H44" i="13"/>
  <c r="H43" i="13"/>
  <c r="H27" i="13"/>
  <c r="H42" i="13"/>
  <c r="H24" i="13"/>
  <c r="H25" i="13"/>
  <c r="H26" i="13"/>
  <c r="I62" i="31"/>
  <c r="H62" i="31"/>
  <c r="G62" i="31"/>
  <c r="F62" i="31"/>
  <c r="E62" i="31"/>
  <c r="D62" i="31"/>
  <c r="A107" i="42"/>
  <c r="A106" i="42"/>
  <c r="K36" i="27"/>
  <c r="J36" i="27"/>
  <c r="I36" i="27"/>
  <c r="H36" i="27"/>
  <c r="A68" i="42"/>
  <c r="A69" i="42"/>
  <c r="A70" i="42"/>
  <c r="A71" i="42"/>
  <c r="A72" i="42"/>
  <c r="A73" i="42"/>
  <c r="A67" i="42"/>
  <c r="G55" i="27"/>
  <c r="G7" i="42"/>
  <c r="G15" i="42" s="1"/>
  <c r="G25" i="42" s="1"/>
  <c r="G39" i="42" s="1"/>
  <c r="G48" i="42" s="1"/>
  <c r="G58" i="42" s="1"/>
  <c r="G66" i="42" s="1"/>
  <c r="G90" i="42" s="1"/>
  <c r="F7" i="42"/>
  <c r="F15" i="42" s="1"/>
  <c r="F25" i="42" s="1"/>
  <c r="F39" i="42" s="1"/>
  <c r="F48" i="42" s="1"/>
  <c r="F58" i="42" s="1"/>
  <c r="F66" i="42" s="1"/>
  <c r="F90" i="42" s="1"/>
  <c r="E7" i="42"/>
  <c r="E15" i="42" s="1"/>
  <c r="E25" i="42" s="1"/>
  <c r="E39" i="42" s="1"/>
  <c r="E48" i="42" s="1"/>
  <c r="E58" i="42" s="1"/>
  <c r="E66" i="42" s="1"/>
  <c r="E90" i="42" s="1"/>
  <c r="D7" i="42"/>
  <c r="D15" i="42" s="1"/>
  <c r="D25" i="42" s="1"/>
  <c r="D39" i="42" s="1"/>
  <c r="D48" i="42" s="1"/>
  <c r="D58" i="42" s="1"/>
  <c r="D66" i="42" s="1"/>
  <c r="D90" i="42" s="1"/>
  <c r="C7" i="42"/>
  <c r="C15" i="42" s="1"/>
  <c r="C25" i="42" s="1"/>
  <c r="C39" i="42" s="1"/>
  <c r="C48" i="42" s="1"/>
  <c r="C58" i="42" s="1"/>
  <c r="C66" i="42" s="1"/>
  <c r="C90" i="42" s="1"/>
  <c r="B7" i="42"/>
  <c r="B15" i="42" s="1"/>
  <c r="B25" i="42" s="1"/>
  <c r="B39" i="42" s="1"/>
  <c r="B48" i="42" s="1"/>
  <c r="B58" i="42" s="1"/>
  <c r="B66" i="42" s="1"/>
  <c r="B90" i="42" s="1"/>
  <c r="A105" i="42"/>
  <c r="A102" i="42"/>
  <c r="A101" i="42"/>
  <c r="A99" i="42"/>
  <c r="A98" i="42"/>
  <c r="A97" i="42"/>
  <c r="A96" i="42"/>
  <c r="A95" i="42"/>
  <c r="A94" i="42"/>
  <c r="A93" i="42"/>
  <c r="A92" i="42"/>
  <c r="A91" i="42"/>
  <c r="A90" i="42"/>
  <c r="A89" i="42"/>
  <c r="A88" i="42"/>
  <c r="A86" i="42"/>
  <c r="A65" i="42"/>
  <c r="A63" i="42"/>
  <c r="A62" i="42"/>
  <c r="A61" i="42"/>
  <c r="A60" i="42"/>
  <c r="A59" i="42"/>
  <c r="A58" i="42"/>
  <c r="A55" i="42"/>
  <c r="A54" i="42"/>
  <c r="A53" i="42"/>
  <c r="A52" i="42"/>
  <c r="A51" i="42"/>
  <c r="A50" i="42"/>
  <c r="A49" i="42"/>
  <c r="A48" i="42"/>
  <c r="A45" i="42"/>
  <c r="A44" i="42"/>
  <c r="A43" i="42"/>
  <c r="A42" i="42"/>
  <c r="A41" i="42"/>
  <c r="A40" i="42"/>
  <c r="A39" i="42"/>
  <c r="A36" i="42"/>
  <c r="A35" i="42"/>
  <c r="A34" i="42"/>
  <c r="A33" i="42"/>
  <c r="A32" i="42"/>
  <c r="A31" i="42"/>
  <c r="A30" i="42"/>
  <c r="A29" i="42"/>
  <c r="A28" i="42"/>
  <c r="A27" i="42"/>
  <c r="A26" i="42"/>
  <c r="A25" i="42"/>
  <c r="A22" i="42"/>
  <c r="A21" i="42"/>
  <c r="A20" i="42"/>
  <c r="A19" i="42"/>
  <c r="A18" i="42"/>
  <c r="A17" i="42"/>
  <c r="A16" i="42"/>
  <c r="A15" i="42"/>
  <c r="A11" i="42"/>
  <c r="A10" i="42"/>
  <c r="A9" i="42"/>
  <c r="A8" i="42"/>
  <c r="A7" i="42"/>
  <c r="A6" i="42"/>
  <c r="A3" i="42"/>
  <c r="A2" i="42"/>
  <c r="I59" i="31"/>
  <c r="H59" i="31"/>
  <c r="G59" i="31"/>
  <c r="F59" i="31"/>
  <c r="E59" i="31"/>
  <c r="D59" i="31"/>
  <c r="I55" i="31"/>
  <c r="H55" i="31"/>
  <c r="G55" i="31"/>
  <c r="F55" i="31"/>
  <c r="E55" i="31"/>
  <c r="D55" i="31"/>
  <c r="I53" i="31"/>
  <c r="H53" i="31"/>
  <c r="G53" i="31"/>
  <c r="F53" i="31"/>
  <c r="E53" i="31"/>
  <c r="D53" i="31"/>
  <c r="A114" i="27"/>
  <c r="I99" i="27"/>
  <c r="C99" i="27"/>
  <c r="F47" i="31"/>
  <c r="I47" i="31"/>
  <c r="H47" i="31"/>
  <c r="G47" i="31"/>
  <c r="E47" i="31"/>
  <c r="D47" i="31"/>
  <c r="A39" i="31"/>
  <c r="C37" i="31"/>
  <c r="C36" i="31"/>
  <c r="A36" i="31"/>
  <c r="A38" i="31"/>
  <c r="C33" i="31"/>
  <c r="C32" i="31"/>
  <c r="C31" i="31"/>
  <c r="C30" i="31"/>
  <c r="C29" i="31"/>
  <c r="C28" i="31"/>
  <c r="A34" i="31"/>
  <c r="A32" i="31"/>
  <c r="A30" i="31"/>
  <c r="A28" i="31"/>
  <c r="C27" i="31"/>
  <c r="C26" i="31"/>
  <c r="A26" i="31"/>
  <c r="A25" i="31"/>
  <c r="C24" i="31"/>
  <c r="C23" i="31"/>
  <c r="A23" i="31"/>
  <c r="I11" i="19"/>
  <c r="I41" i="19" s="1"/>
  <c r="A4" i="19"/>
  <c r="C37" i="29"/>
  <c r="R37" i="29" s="1"/>
  <c r="D40" i="29"/>
  <c r="S40" i="29" s="1"/>
  <c r="D37" i="29"/>
  <c r="S37" i="29" s="1"/>
  <c r="D30" i="29"/>
  <c r="S30" i="29" s="1"/>
  <c r="D20" i="29"/>
  <c r="S20" i="29" s="1"/>
  <c r="D13" i="29"/>
  <c r="S13" i="29" s="1"/>
  <c r="C40" i="29"/>
  <c r="R40" i="29" s="1"/>
  <c r="C30" i="29"/>
  <c r="R30" i="29" s="1"/>
  <c r="C20" i="29"/>
  <c r="R20" i="29" s="1"/>
  <c r="C13" i="29"/>
  <c r="R13" i="29" s="1"/>
  <c r="B33" i="30"/>
  <c r="B28" i="30"/>
  <c r="H26" i="30"/>
  <c r="H41" i="41" s="1"/>
  <c r="G26" i="30"/>
  <c r="F26" i="30"/>
  <c r="F41" i="41" s="1"/>
  <c r="E26" i="30"/>
  <c r="D26" i="30"/>
  <c r="C26" i="30"/>
  <c r="H40" i="29"/>
  <c r="H37" i="29"/>
  <c r="H20" i="29"/>
  <c r="H21" i="29" s="1"/>
  <c r="H13" i="29"/>
  <c r="E13" i="29"/>
  <c r="T13" i="29" s="1"/>
  <c r="F13" i="29"/>
  <c r="U13" i="29" s="1"/>
  <c r="G13" i="29"/>
  <c r="V13" i="29" s="1"/>
  <c r="E20" i="29"/>
  <c r="T20" i="29" s="1"/>
  <c r="F20" i="29"/>
  <c r="U20" i="29" s="1"/>
  <c r="F21" i="29"/>
  <c r="U21" i="29" s="1"/>
  <c r="G20" i="29"/>
  <c r="V20" i="29" s="1"/>
  <c r="E30" i="29"/>
  <c r="T30" i="29" s="1"/>
  <c r="G30" i="29"/>
  <c r="V30" i="29" s="1"/>
  <c r="E37" i="29"/>
  <c r="T37" i="29" s="1"/>
  <c r="F37" i="29"/>
  <c r="U37" i="29" s="1"/>
  <c r="G37" i="29"/>
  <c r="V37" i="29" s="1"/>
  <c r="E40" i="29"/>
  <c r="T40" i="29" s="1"/>
  <c r="F40" i="29"/>
  <c r="U40" i="29" s="1"/>
  <c r="G40" i="29"/>
  <c r="V40" i="29" s="1"/>
  <c r="A26" i="27"/>
  <c r="A27" i="27"/>
  <c r="A28" i="27"/>
  <c r="A29" i="27"/>
  <c r="A30" i="27"/>
  <c r="A31" i="27"/>
  <c r="A32" i="27"/>
  <c r="A33" i="27"/>
  <c r="A34" i="27"/>
  <c r="A35" i="27"/>
  <c r="B32" i="30"/>
  <c r="B30" i="30"/>
  <c r="L117" i="27"/>
  <c r="J117" i="27"/>
  <c r="H117" i="27"/>
  <c r="F117" i="27"/>
  <c r="D117" i="27"/>
  <c r="B117" i="27"/>
  <c r="M90" i="27"/>
  <c r="K90" i="27"/>
  <c r="I90" i="27"/>
  <c r="G90" i="27"/>
  <c r="L90" i="27"/>
  <c r="J90" i="27"/>
  <c r="H90" i="27"/>
  <c r="F90" i="27"/>
  <c r="M99" i="27"/>
  <c r="M100" i="27" s="1"/>
  <c r="L99" i="27"/>
  <c r="I39" i="31" s="1"/>
  <c r="G97" i="42"/>
  <c r="K99" i="27"/>
  <c r="H57" i="31" s="1"/>
  <c r="J99" i="27"/>
  <c r="F108" i="42" s="1"/>
  <c r="F107" i="42"/>
  <c r="H99" i="27"/>
  <c r="E106" i="42"/>
  <c r="M66" i="27"/>
  <c r="K66" i="27"/>
  <c r="I66" i="27"/>
  <c r="G66" i="27"/>
  <c r="L66" i="27"/>
  <c r="J66" i="27"/>
  <c r="H66" i="27"/>
  <c r="F66" i="27"/>
  <c r="M86" i="27"/>
  <c r="L86" i="27"/>
  <c r="G78" i="42" s="1"/>
  <c r="G81" i="42"/>
  <c r="M58" i="27"/>
  <c r="K58" i="27"/>
  <c r="I58" i="27"/>
  <c r="G58" i="27"/>
  <c r="L58" i="27"/>
  <c r="J58" i="27"/>
  <c r="H58" i="27"/>
  <c r="D58" i="27"/>
  <c r="M63" i="27"/>
  <c r="M87" i="27" s="1"/>
  <c r="L63" i="27"/>
  <c r="G61" i="42"/>
  <c r="M48" i="27"/>
  <c r="K48" i="27"/>
  <c r="I48" i="27"/>
  <c r="G48" i="27"/>
  <c r="L48" i="27"/>
  <c r="J48" i="27"/>
  <c r="H48" i="27"/>
  <c r="F48" i="27"/>
  <c r="M55" i="27"/>
  <c r="L55" i="27"/>
  <c r="G50" i="42" s="1"/>
  <c r="M39" i="27"/>
  <c r="K39" i="27"/>
  <c r="I39" i="27"/>
  <c r="G39" i="27"/>
  <c r="L39" i="27"/>
  <c r="J39" i="27"/>
  <c r="H39" i="27"/>
  <c r="F39" i="27"/>
  <c r="M45" i="27"/>
  <c r="M56" i="27" s="1"/>
  <c r="M46" i="27"/>
  <c r="L45" i="27"/>
  <c r="G44" i="42" s="1"/>
  <c r="M25" i="27"/>
  <c r="K25" i="27"/>
  <c r="I25" i="27"/>
  <c r="G25" i="27"/>
  <c r="L25" i="27"/>
  <c r="J25" i="27"/>
  <c r="H25" i="27"/>
  <c r="F25" i="27"/>
  <c r="M15" i="27"/>
  <c r="K15" i="27"/>
  <c r="I15" i="27"/>
  <c r="G15" i="27"/>
  <c r="L15" i="27"/>
  <c r="J15" i="27"/>
  <c r="H15" i="27"/>
  <c r="F15" i="27"/>
  <c r="M36" i="27"/>
  <c r="L36" i="27"/>
  <c r="G30" i="42" s="1"/>
  <c r="G26" i="42"/>
  <c r="M22" i="27"/>
  <c r="L22" i="27"/>
  <c r="M7" i="27"/>
  <c r="K7" i="27"/>
  <c r="I7" i="27"/>
  <c r="G7" i="27"/>
  <c r="L7" i="27"/>
  <c r="J7" i="27"/>
  <c r="H7" i="27"/>
  <c r="F7" i="27"/>
  <c r="M11" i="27"/>
  <c r="L11" i="27"/>
  <c r="G9" i="42"/>
  <c r="K11" i="27"/>
  <c r="J11" i="27"/>
  <c r="F8" i="42" s="1"/>
  <c r="F11" i="42" s="1"/>
  <c r="I11" i="27"/>
  <c r="I23" i="27"/>
  <c r="H11" i="27"/>
  <c r="K86" i="27"/>
  <c r="J86" i="27"/>
  <c r="F82" i="42" s="1"/>
  <c r="F74" i="42"/>
  <c r="K63" i="27"/>
  <c r="K64" i="27" s="1"/>
  <c r="J63" i="27"/>
  <c r="K55" i="27"/>
  <c r="J55" i="27"/>
  <c r="F52" i="42" s="1"/>
  <c r="K45" i="27"/>
  <c r="J45" i="27"/>
  <c r="F42" i="42"/>
  <c r="K22" i="27"/>
  <c r="J22" i="27"/>
  <c r="I86" i="27"/>
  <c r="H86" i="27"/>
  <c r="I55" i="27"/>
  <c r="H55" i="27"/>
  <c r="E51" i="42" s="1"/>
  <c r="E50" i="42"/>
  <c r="E49" i="42"/>
  <c r="E55" i="42"/>
  <c r="I45" i="27"/>
  <c r="H45" i="27"/>
  <c r="E43" i="42" s="1"/>
  <c r="I22" i="27"/>
  <c r="H22" i="27"/>
  <c r="E18" i="42"/>
  <c r="B4" i="29"/>
  <c r="H7" i="30"/>
  <c r="G7" i="30"/>
  <c r="F7" i="30"/>
  <c r="H17" i="30"/>
  <c r="H40" i="41" s="1"/>
  <c r="H12" i="30"/>
  <c r="G17" i="30"/>
  <c r="G40" i="41" s="1"/>
  <c r="G12" i="30"/>
  <c r="H7" i="29"/>
  <c r="G7" i="29"/>
  <c r="F7" i="29"/>
  <c r="H6" i="29"/>
  <c r="V6" i="30" s="1"/>
  <c r="A93" i="14"/>
  <c r="A94" i="14" s="1"/>
  <c r="A1" i="31"/>
  <c r="F49" i="14"/>
  <c r="B49" i="14"/>
  <c r="A49" i="14"/>
  <c r="A48" i="14"/>
  <c r="A47" i="14"/>
  <c r="H41" i="19"/>
  <c r="A147" i="14"/>
  <c r="A102" i="27"/>
  <c r="A63" i="14"/>
  <c r="A45" i="14"/>
  <c r="B15" i="17"/>
  <c r="I15" i="17" s="1"/>
  <c r="E3" i="17"/>
  <c r="S11" i="17"/>
  <c r="S10" i="17"/>
  <c r="S9" i="17"/>
  <c r="S8" i="17"/>
  <c r="S7" i="17"/>
  <c r="S6" i="17"/>
  <c r="S5" i="17"/>
  <c r="S4" i="17"/>
  <c r="S3" i="17"/>
  <c r="T11" i="17" s="1"/>
  <c r="S2" i="17"/>
  <c r="E4" i="17"/>
  <c r="C14" i="17" s="1"/>
  <c r="F53" i="17"/>
  <c r="B14" i="17"/>
  <c r="E8" i="17"/>
  <c r="A172" i="14"/>
  <c r="A171" i="14"/>
  <c r="A170" i="14"/>
  <c r="A169" i="14"/>
  <c r="A110" i="27"/>
  <c r="J4" i="31"/>
  <c r="A6" i="31"/>
  <c r="A9" i="27"/>
  <c r="C86" i="27"/>
  <c r="D86" i="27"/>
  <c r="C83" i="42" s="1"/>
  <c r="E86" i="27"/>
  <c r="F86" i="27"/>
  <c r="D77" i="42"/>
  <c r="D72" i="42"/>
  <c r="G86" i="27"/>
  <c r="B86" i="27"/>
  <c r="A86" i="27"/>
  <c r="A63" i="27"/>
  <c r="A74" i="27"/>
  <c r="A74" i="42" s="1"/>
  <c r="A75" i="27"/>
  <c r="A75" i="42"/>
  <c r="A76" i="27"/>
  <c r="A76" i="42" s="1"/>
  <c r="A77" i="27"/>
  <c r="A77" i="42" s="1"/>
  <c r="A78" i="27"/>
  <c r="A78" i="42" s="1"/>
  <c r="A79" i="27"/>
  <c r="A79" i="42" s="1"/>
  <c r="A80" i="27"/>
  <c r="A80" i="42" s="1"/>
  <c r="A81" i="27"/>
  <c r="A81" i="42" s="1"/>
  <c r="A82" i="27"/>
  <c r="A82" i="42" s="1"/>
  <c r="A83" i="27"/>
  <c r="A83" i="42" s="1"/>
  <c r="A84" i="27"/>
  <c r="A84" i="42" s="1"/>
  <c r="A85" i="27"/>
  <c r="A85" i="42"/>
  <c r="E66" i="27"/>
  <c r="C66" i="27"/>
  <c r="D66" i="27"/>
  <c r="B66" i="27"/>
  <c r="A65" i="27"/>
  <c r="C58" i="27"/>
  <c r="C48" i="27"/>
  <c r="B58" i="27"/>
  <c r="A58" i="27"/>
  <c r="A157" i="14"/>
  <c r="G99" i="27"/>
  <c r="F55" i="27"/>
  <c r="D54" i="42" s="1"/>
  <c r="E55" i="27"/>
  <c r="D55" i="27"/>
  <c r="D99" i="27"/>
  <c r="C55" i="27"/>
  <c r="B63" i="27"/>
  <c r="B61" i="42" s="1"/>
  <c r="B99" i="27"/>
  <c r="D40" i="31" s="1"/>
  <c r="C63" i="27"/>
  <c r="B55" i="27"/>
  <c r="G45" i="27"/>
  <c r="F45" i="27"/>
  <c r="E45" i="27"/>
  <c r="E46" i="27" s="1"/>
  <c r="D45" i="27"/>
  <c r="C40" i="42" s="1"/>
  <c r="C45" i="42" s="1"/>
  <c r="C45" i="27"/>
  <c r="B45" i="27"/>
  <c r="B46" i="27" s="1"/>
  <c r="B42" i="42"/>
  <c r="G36" i="27"/>
  <c r="G37" i="27"/>
  <c r="F36" i="27"/>
  <c r="D28" i="42"/>
  <c r="E36" i="27"/>
  <c r="D36" i="27"/>
  <c r="C27" i="42" s="1"/>
  <c r="C35" i="42"/>
  <c r="C36" i="27"/>
  <c r="C46" i="27"/>
  <c r="B36" i="27"/>
  <c r="B35" i="42"/>
  <c r="B29" i="42"/>
  <c r="G22" i="27"/>
  <c r="F22" i="27"/>
  <c r="E22" i="27"/>
  <c r="E23" i="27" s="1"/>
  <c r="D22" i="27"/>
  <c r="C17" i="42" s="1"/>
  <c r="C22" i="27"/>
  <c r="B22" i="27"/>
  <c r="B18" i="42"/>
  <c r="G11" i="27"/>
  <c r="F11" i="27"/>
  <c r="D9" i="42" s="1"/>
  <c r="E11" i="27"/>
  <c r="D11" i="27"/>
  <c r="C9" i="42"/>
  <c r="C11" i="27"/>
  <c r="B11" i="27"/>
  <c r="E58" i="27"/>
  <c r="F58" i="27"/>
  <c r="B48" i="27"/>
  <c r="A59" i="27"/>
  <c r="A60" i="27"/>
  <c r="A61" i="27"/>
  <c r="A62" i="27"/>
  <c r="A48" i="27"/>
  <c r="E48" i="27"/>
  <c r="C39" i="27"/>
  <c r="D48" i="27"/>
  <c r="B39" i="27"/>
  <c r="E39" i="27"/>
  <c r="C25" i="27"/>
  <c r="D39" i="27"/>
  <c r="B25" i="27"/>
  <c r="D25" i="27"/>
  <c r="D15" i="27"/>
  <c r="E25" i="27"/>
  <c r="C15" i="27"/>
  <c r="B15" i="27"/>
  <c r="A54" i="27"/>
  <c r="E15" i="27"/>
  <c r="E7" i="27"/>
  <c r="D7" i="27"/>
  <c r="C7" i="27"/>
  <c r="B7" i="27"/>
  <c r="E106" i="19"/>
  <c r="H106" i="19"/>
  <c r="I93" i="19"/>
  <c r="G2" i="31"/>
  <c r="F17" i="30"/>
  <c r="F40" i="41" s="1"/>
  <c r="F42" i="41" s="1"/>
  <c r="F12" i="30"/>
  <c r="E17" i="30"/>
  <c r="E12" i="30"/>
  <c r="D17" i="30"/>
  <c r="D40" i="41" s="1"/>
  <c r="C20" i="31"/>
  <c r="C19" i="31"/>
  <c r="A19" i="31"/>
  <c r="C12" i="30"/>
  <c r="C17" i="30"/>
  <c r="D12" i="30"/>
  <c r="B43" i="29"/>
  <c r="B37" i="29"/>
  <c r="B28" i="29"/>
  <c r="B14" i="29"/>
  <c r="B68" i="26"/>
  <c r="E68" i="26"/>
  <c r="F68" i="26"/>
  <c r="H68" i="26"/>
  <c r="J68" i="26"/>
  <c r="I116" i="14"/>
  <c r="M92" i="14"/>
  <c r="M95" i="14" s="1"/>
  <c r="M96" i="14" s="1"/>
  <c r="M97" i="14" s="1"/>
  <c r="B390" i="28"/>
  <c r="L92" i="14" s="1"/>
  <c r="G46" i="30"/>
  <c r="G41" i="30"/>
  <c r="C46" i="30"/>
  <c r="C41" i="30"/>
  <c r="B45" i="30"/>
  <c r="B40" i="30"/>
  <c r="B51" i="29"/>
  <c r="G57" i="29"/>
  <c r="C57" i="29"/>
  <c r="G52" i="29"/>
  <c r="C52" i="29"/>
  <c r="B56" i="29"/>
  <c r="B47" i="29"/>
  <c r="F91" i="14"/>
  <c r="E91" i="14"/>
  <c r="C91" i="14"/>
  <c r="B91" i="14"/>
  <c r="A91" i="14"/>
  <c r="A90" i="14"/>
  <c r="A20" i="27"/>
  <c r="H143" i="14"/>
  <c r="H142" i="14"/>
  <c r="G143" i="14"/>
  <c r="G142" i="14"/>
  <c r="A143" i="14"/>
  <c r="A2" i="26"/>
  <c r="A2" i="27"/>
  <c r="B1" i="30"/>
  <c r="B1" i="29"/>
  <c r="A2" i="19"/>
  <c r="A79" i="13"/>
  <c r="A89" i="14"/>
  <c r="A65" i="14"/>
  <c r="B387" i="28"/>
  <c r="A254" i="14" s="1"/>
  <c r="B386" i="28"/>
  <c r="A253" i="14" s="1"/>
  <c r="A15" i="27"/>
  <c r="A16" i="27"/>
  <c r="A22" i="27"/>
  <c r="A17" i="27"/>
  <c r="A18" i="27"/>
  <c r="A19" i="27"/>
  <c r="A21" i="27"/>
  <c r="A7" i="27"/>
  <c r="A15" i="26"/>
  <c r="A107" i="27"/>
  <c r="J17" i="26"/>
  <c r="I17" i="26"/>
  <c r="H17" i="26"/>
  <c r="G17" i="26"/>
  <c r="F17" i="26"/>
  <c r="E17" i="26"/>
  <c r="D17" i="26"/>
  <c r="C17" i="26"/>
  <c r="B17" i="26"/>
  <c r="A17" i="14"/>
  <c r="B106" i="19"/>
  <c r="J54" i="19"/>
  <c r="I55" i="19"/>
  <c r="H55" i="19"/>
  <c r="H54" i="19"/>
  <c r="G54" i="19"/>
  <c r="F54" i="19"/>
  <c r="E54" i="19"/>
  <c r="D54" i="19"/>
  <c r="C54" i="19"/>
  <c r="B54" i="19"/>
  <c r="A53" i="19"/>
  <c r="B51" i="19"/>
  <c r="J44" i="19"/>
  <c r="I45" i="19"/>
  <c r="H45" i="19"/>
  <c r="H44" i="19"/>
  <c r="G44" i="19"/>
  <c r="F44" i="19"/>
  <c r="E44" i="19"/>
  <c r="D44" i="19"/>
  <c r="C44" i="19"/>
  <c r="B44" i="19"/>
  <c r="A43" i="19"/>
  <c r="B41" i="19"/>
  <c r="J9" i="19"/>
  <c r="I10" i="19"/>
  <c r="H10" i="19"/>
  <c r="H9" i="19"/>
  <c r="G9" i="19"/>
  <c r="F9" i="19"/>
  <c r="E9" i="19"/>
  <c r="D9" i="19"/>
  <c r="C9" i="19"/>
  <c r="B9" i="19"/>
  <c r="A8" i="19"/>
  <c r="A7" i="19"/>
  <c r="A5" i="19"/>
  <c r="A11" i="14"/>
  <c r="A168" i="14"/>
  <c r="A167" i="14"/>
  <c r="A166" i="14"/>
  <c r="A165" i="14"/>
  <c r="A164" i="14"/>
  <c r="A163" i="14"/>
  <c r="A162" i="14"/>
  <c r="A161" i="14"/>
  <c r="A159" i="14"/>
  <c r="A158" i="14"/>
  <c r="A155" i="14"/>
  <c r="A154" i="14"/>
  <c r="A151" i="14"/>
  <c r="G151" i="14"/>
  <c r="E151" i="14"/>
  <c r="A146" i="14"/>
  <c r="A145" i="14"/>
  <c r="A142" i="14"/>
  <c r="H141" i="14"/>
  <c r="H140" i="14"/>
  <c r="H137" i="14"/>
  <c r="H136" i="14"/>
  <c r="H135" i="14"/>
  <c r="H134" i="14"/>
  <c r="G141" i="14"/>
  <c r="G140" i="14"/>
  <c r="G137" i="14"/>
  <c r="G136" i="14"/>
  <c r="G135" i="14"/>
  <c r="G134" i="14"/>
  <c r="A135" i="14"/>
  <c r="A136" i="14"/>
  <c r="A137" i="14"/>
  <c r="A138" i="14"/>
  <c r="A139" i="14"/>
  <c r="A140" i="14"/>
  <c r="A141" i="14"/>
  <c r="A134" i="14"/>
  <c r="A133" i="14"/>
  <c r="A131" i="14"/>
  <c r="A130" i="14"/>
  <c r="A129" i="14"/>
  <c r="A125" i="14"/>
  <c r="A126" i="14"/>
  <c r="A127" i="14"/>
  <c r="A128" i="14"/>
  <c r="A124" i="14"/>
  <c r="A123" i="14"/>
  <c r="A121" i="14"/>
  <c r="A122" i="14"/>
  <c r="A120" i="14"/>
  <c r="D119" i="14"/>
  <c r="A119" i="14"/>
  <c r="D117" i="14"/>
  <c r="D116" i="14"/>
  <c r="A116" i="14"/>
  <c r="A115" i="14"/>
  <c r="A112" i="14"/>
  <c r="A111" i="14"/>
  <c r="A110" i="14"/>
  <c r="A107" i="14"/>
  <c r="A108" i="14"/>
  <c r="A106" i="14"/>
  <c r="A105" i="14"/>
  <c r="A104" i="14"/>
  <c r="A103" i="14"/>
  <c r="A102" i="14"/>
  <c r="A101" i="14"/>
  <c r="A100" i="14"/>
  <c r="A86" i="14"/>
  <c r="F66" i="14"/>
  <c r="E66" i="14"/>
  <c r="C66" i="14"/>
  <c r="A66" i="14"/>
  <c r="G31" i="14"/>
  <c r="F31" i="14"/>
  <c r="E31" i="14"/>
  <c r="D31" i="14"/>
  <c r="B31" i="14"/>
  <c r="A31" i="14"/>
  <c r="A30" i="14"/>
  <c r="A29" i="14"/>
  <c r="A27" i="14"/>
  <c r="E24" i="14"/>
  <c r="E25" i="14"/>
  <c r="E26" i="14"/>
  <c r="E23" i="14"/>
  <c r="E22" i="14"/>
  <c r="E21" i="14"/>
  <c r="E20" i="14"/>
  <c r="E19" i="14"/>
  <c r="E18" i="14"/>
  <c r="E17" i="14"/>
  <c r="E16" i="14"/>
  <c r="E15" i="14"/>
  <c r="A15" i="14"/>
  <c r="A16" i="14"/>
  <c r="A24" i="14"/>
  <c r="A25" i="14"/>
  <c r="A26" i="14"/>
  <c r="A23" i="14"/>
  <c r="A22" i="14"/>
  <c r="A18" i="14"/>
  <c r="A19" i="14"/>
  <c r="A20" i="14"/>
  <c r="A21" i="14"/>
  <c r="A14" i="14"/>
  <c r="A12" i="14"/>
  <c r="A9" i="14"/>
  <c r="B8" i="29"/>
  <c r="B383" i="28"/>
  <c r="B382" i="28"/>
  <c r="B370" i="28"/>
  <c r="B371" i="28"/>
  <c r="B372" i="28"/>
  <c r="B373" i="28"/>
  <c r="B374" i="28"/>
  <c r="B375" i="28"/>
  <c r="B376" i="28"/>
  <c r="B377" i="28"/>
  <c r="B378" i="28"/>
  <c r="B369" i="28"/>
  <c r="F86" i="14"/>
  <c r="E86" i="14"/>
  <c r="H51" i="19"/>
  <c r="E45" i="14"/>
  <c r="E51" i="19"/>
  <c r="A59" i="31"/>
  <c r="E2" i="31"/>
  <c r="F2" i="31"/>
  <c r="D2" i="31"/>
  <c r="A112" i="27"/>
  <c r="A108" i="27"/>
  <c r="A113" i="27"/>
  <c r="A115" i="27"/>
  <c r="A116" i="27"/>
  <c r="A111" i="27"/>
  <c r="A105" i="27"/>
  <c r="A101" i="27"/>
  <c r="A99" i="27"/>
  <c r="E90" i="27"/>
  <c r="D90" i="27"/>
  <c r="A98" i="27"/>
  <c r="A94" i="27"/>
  <c r="A95" i="27"/>
  <c r="A96" i="27"/>
  <c r="A97" i="27"/>
  <c r="A93" i="27"/>
  <c r="A92" i="27"/>
  <c r="A91" i="27"/>
  <c r="A90" i="27"/>
  <c r="A88" i="27"/>
  <c r="A89" i="27"/>
  <c r="A6" i="27"/>
  <c r="A55" i="27"/>
  <c r="A50" i="27"/>
  <c r="A51" i="27"/>
  <c r="A52" i="27"/>
  <c r="A53" i="27"/>
  <c r="A49" i="27"/>
  <c r="A45" i="27"/>
  <c r="A41" i="27"/>
  <c r="A42" i="27"/>
  <c r="A43" i="27"/>
  <c r="A44" i="27"/>
  <c r="A40" i="27"/>
  <c r="A39" i="27"/>
  <c r="A36" i="27"/>
  <c r="A25" i="27"/>
  <c r="A11" i="27"/>
  <c r="A8" i="27"/>
  <c r="A10" i="27"/>
  <c r="A3" i="27"/>
  <c r="H8" i="13"/>
  <c r="H11" i="13"/>
  <c r="A61" i="13"/>
  <c r="A42" i="13"/>
  <c r="A24" i="13"/>
  <c r="A8" i="13"/>
  <c r="H10" i="13"/>
  <c r="H9" i="13"/>
  <c r="G6" i="13"/>
  <c r="A4" i="13"/>
  <c r="C60" i="31"/>
  <c r="C59" i="31"/>
  <c r="C58" i="31"/>
  <c r="C57" i="31"/>
  <c r="C56" i="31"/>
  <c r="C55" i="31"/>
  <c r="C54" i="31"/>
  <c r="C53" i="31"/>
  <c r="C51" i="31"/>
  <c r="C50" i="31"/>
  <c r="A57" i="31"/>
  <c r="A53" i="31"/>
  <c r="A50" i="31"/>
  <c r="A49" i="31"/>
  <c r="C48" i="31"/>
  <c r="C47" i="31"/>
  <c r="C46" i="31"/>
  <c r="C45" i="31"/>
  <c r="A47" i="31"/>
  <c r="A45" i="31"/>
  <c r="A41" i="31"/>
  <c r="A42" i="31"/>
  <c r="A43" i="31"/>
  <c r="A44" i="31"/>
  <c r="A40" i="31"/>
  <c r="C41" i="31"/>
  <c r="C42" i="31"/>
  <c r="C43" i="31"/>
  <c r="C44" i="31"/>
  <c r="C40" i="31"/>
  <c r="C39" i="31"/>
  <c r="C38" i="31"/>
  <c r="A35" i="31"/>
  <c r="A21" i="31"/>
  <c r="A17" i="31"/>
  <c r="A15" i="31"/>
  <c r="A13" i="31"/>
  <c r="C22" i="31"/>
  <c r="C21" i="31"/>
  <c r="C18" i="31"/>
  <c r="C17" i="31"/>
  <c r="C16" i="31"/>
  <c r="C15" i="31"/>
  <c r="C14" i="31"/>
  <c r="C13" i="31"/>
  <c r="A12" i="31"/>
  <c r="A10" i="31"/>
  <c r="A8" i="31"/>
  <c r="C11" i="31"/>
  <c r="C10" i="31"/>
  <c r="C9" i="31"/>
  <c r="C8" i="31"/>
  <c r="C6" i="31"/>
  <c r="C7" i="31"/>
  <c r="A5" i="31"/>
  <c r="A4" i="31"/>
  <c r="A2" i="31"/>
  <c r="B2" i="30"/>
  <c r="E7" i="30"/>
  <c r="D7" i="30"/>
  <c r="C7" i="30"/>
  <c r="B36" i="30"/>
  <c r="B35" i="30"/>
  <c r="B34" i="30"/>
  <c r="B31" i="30"/>
  <c r="B29" i="30"/>
  <c r="B27" i="30"/>
  <c r="B26" i="30"/>
  <c r="B25" i="30"/>
  <c r="B24" i="30"/>
  <c r="B23" i="30"/>
  <c r="B22" i="30"/>
  <c r="B21" i="30"/>
  <c r="B20" i="30"/>
  <c r="B19" i="30"/>
  <c r="B18" i="30"/>
  <c r="B17" i="30"/>
  <c r="B16" i="30"/>
  <c r="B15" i="30"/>
  <c r="B14" i="30"/>
  <c r="B13" i="30"/>
  <c r="B12" i="30"/>
  <c r="B11" i="30"/>
  <c r="B10" i="30"/>
  <c r="B9" i="30"/>
  <c r="B8" i="30"/>
  <c r="B7" i="30"/>
  <c r="B6" i="30"/>
  <c r="C7" i="29"/>
  <c r="B10" i="29"/>
  <c r="E7" i="29"/>
  <c r="D7" i="29"/>
  <c r="B2" i="29"/>
  <c r="B6" i="29"/>
  <c r="B7" i="29"/>
  <c r="B11" i="29"/>
  <c r="B12" i="29"/>
  <c r="B13" i="29"/>
  <c r="B15" i="29"/>
  <c r="B16" i="29"/>
  <c r="B17" i="29"/>
  <c r="B18" i="29"/>
  <c r="B19" i="29"/>
  <c r="B20" i="29"/>
  <c r="B21" i="29"/>
  <c r="B22" i="29"/>
  <c r="B23" i="29"/>
  <c r="B24" i="29"/>
  <c r="B25" i="29"/>
  <c r="B26" i="29"/>
  <c r="B27" i="29"/>
  <c r="B29" i="29"/>
  <c r="B30" i="29"/>
  <c r="B31" i="29"/>
  <c r="B32" i="29"/>
  <c r="B33" i="29"/>
  <c r="B34" i="29"/>
  <c r="B35" i="29"/>
  <c r="B36" i="29"/>
  <c r="B38" i="29"/>
  <c r="B39" i="29"/>
  <c r="B40" i="29"/>
  <c r="B41" i="29"/>
  <c r="B42" i="29"/>
  <c r="B44" i="29"/>
  <c r="B45" i="29"/>
  <c r="B46" i="29"/>
  <c r="H41" i="31"/>
  <c r="I103" i="19"/>
  <c r="I67" i="19"/>
  <c r="I22" i="19"/>
  <c r="I69" i="19"/>
  <c r="I24" i="19"/>
  <c r="I29" i="19"/>
  <c r="I39" i="19"/>
  <c r="I59" i="19"/>
  <c r="I105" i="19"/>
  <c r="I98" i="19"/>
  <c r="I21" i="19"/>
  <c r="I99" i="19"/>
  <c r="I12" i="19"/>
  <c r="I82" i="19"/>
  <c r="I27" i="19"/>
  <c r="I50" i="19"/>
  <c r="I60" i="19"/>
  <c r="I56" i="19"/>
  <c r="I106" i="19" s="1"/>
  <c r="I40" i="19"/>
  <c r="I26" i="19"/>
  <c r="I95" i="19"/>
  <c r="I74" i="19"/>
  <c r="I30" i="19"/>
  <c r="I91" i="19"/>
  <c r="I104" i="19"/>
  <c r="I65" i="19"/>
  <c r="I48" i="19"/>
  <c r="I32" i="19"/>
  <c r="I16" i="19"/>
  <c r="I77" i="19"/>
  <c r="I34" i="19"/>
  <c r="I86" i="19"/>
  <c r="I61" i="19"/>
  <c r="I78" i="19"/>
  <c r="I84" i="19"/>
  <c r="I15" i="19"/>
  <c r="I92" i="19"/>
  <c r="I90" i="19"/>
  <c r="I72" i="19"/>
  <c r="I36" i="19"/>
  <c r="I87" i="19"/>
  <c r="I64" i="19"/>
  <c r="I58" i="19"/>
  <c r="I33" i="19"/>
  <c r="I66" i="19"/>
  <c r="I35" i="19"/>
  <c r="I19" i="19"/>
  <c r="I88" i="19"/>
  <c r="I49" i="19"/>
  <c r="I83" i="19"/>
  <c r="I75" i="19"/>
  <c r="I31" i="19"/>
  <c r="I18" i="19"/>
  <c r="I46" i="19"/>
  <c r="I102" i="19"/>
  <c r="I17" i="19"/>
  <c r="I47" i="19"/>
  <c r="I37" i="19"/>
  <c r="I62" i="19"/>
  <c r="I13" i="19"/>
  <c r="I85" i="19"/>
  <c r="I38" i="19"/>
  <c r="I71" i="19"/>
  <c r="I68" i="19"/>
  <c r="I23" i="19"/>
  <c r="I81" i="19"/>
  <c r="I57" i="19"/>
  <c r="I20" i="19"/>
  <c r="I76" i="19"/>
  <c r="I14" i="19"/>
  <c r="I97" i="19"/>
  <c r="I79" i="19"/>
  <c r="I101" i="19"/>
  <c r="I89" i="19"/>
  <c r="I80" i="19"/>
  <c r="I73" i="19"/>
  <c r="I25" i="19"/>
  <c r="I96" i="19"/>
  <c r="I94" i="19"/>
  <c r="I70" i="19"/>
  <c r="I100" i="19"/>
  <c r="I63" i="19"/>
  <c r="I28" i="19"/>
  <c r="I51" i="19"/>
  <c r="A1" i="13"/>
  <c r="G31" i="42"/>
  <c r="G34" i="42"/>
  <c r="G29" i="42"/>
  <c r="F60" i="42"/>
  <c r="E19" i="42"/>
  <c r="D35" i="42"/>
  <c r="C10" i="42"/>
  <c r="B72" i="42"/>
  <c r="B70" i="42"/>
  <c r="B26" i="42"/>
  <c r="B28" i="42"/>
  <c r="B33" i="42"/>
  <c r="B32" i="42"/>
  <c r="G100" i="27"/>
  <c r="B19" i="42"/>
  <c r="G8" i="42"/>
  <c r="G11" i="42" s="1"/>
  <c r="E52" i="42"/>
  <c r="D27" i="42"/>
  <c r="I40" i="31"/>
  <c r="G59" i="42"/>
  <c r="G63" i="42" s="1"/>
  <c r="F72" i="42"/>
  <c r="D29" i="42"/>
  <c r="E16" i="42"/>
  <c r="E22" i="42" s="1"/>
  <c r="G10" i="42"/>
  <c r="F84" i="42"/>
  <c r="F73" i="42"/>
  <c r="D30" i="42"/>
  <c r="D26" i="42"/>
  <c r="D16" i="42"/>
  <c r="D22" i="42"/>
  <c r="D34" i="42"/>
  <c r="F41" i="42"/>
  <c r="G93" i="42"/>
  <c r="B34" i="42"/>
  <c r="B43" i="42"/>
  <c r="B75" i="42"/>
  <c r="F71" i="42"/>
  <c r="G35" i="42"/>
  <c r="G62" i="42"/>
  <c r="K100" i="27"/>
  <c r="D78" i="42"/>
  <c r="B40" i="42"/>
  <c r="B45" i="42" s="1"/>
  <c r="B31" i="42"/>
  <c r="E20" i="42"/>
  <c r="F106" i="42"/>
  <c r="B37" i="27"/>
  <c r="B20" i="42"/>
  <c r="B27" i="42"/>
  <c r="B41" i="42"/>
  <c r="D76" i="42"/>
  <c r="E21" i="42"/>
  <c r="B30" i="42"/>
  <c r="B21" i="42"/>
  <c r="E42" i="42"/>
  <c r="G33" i="42"/>
  <c r="D75" i="42"/>
  <c r="F9" i="42"/>
  <c r="G27" i="42"/>
  <c r="E97" i="42"/>
  <c r="D70" i="42"/>
  <c r="F95" i="42"/>
  <c r="F101" i="42"/>
  <c r="E94" i="42"/>
  <c r="H40" i="31"/>
  <c r="F10" i="42"/>
  <c r="F94" i="42"/>
  <c r="E102" i="42"/>
  <c r="D79" i="42"/>
  <c r="G28" i="42"/>
  <c r="G60" i="42"/>
  <c r="H44" i="31"/>
  <c r="B60" i="42"/>
  <c r="G32" i="42"/>
  <c r="H43" i="31"/>
  <c r="E17" i="42"/>
  <c r="D21" i="42"/>
  <c r="F43" i="42"/>
  <c r="F96" i="42"/>
  <c r="L23" i="27"/>
  <c r="H39" i="31"/>
  <c r="C8" i="42"/>
  <c r="C11" i="42" s="1"/>
  <c r="D17" i="42"/>
  <c r="H42" i="31"/>
  <c r="I41" i="31"/>
  <c r="C44" i="42"/>
  <c r="F44" i="42"/>
  <c r="B76" i="42"/>
  <c r="B17" i="42"/>
  <c r="D10" i="42"/>
  <c r="B9" i="42"/>
  <c r="B16" i="42"/>
  <c r="B22" i="42" s="1"/>
  <c r="E41" i="42"/>
  <c r="F76" i="42"/>
  <c r="G94" i="42"/>
  <c r="G107" i="42"/>
  <c r="C74" i="42"/>
  <c r="E54" i="42"/>
  <c r="C73" i="42"/>
  <c r="B81" i="42"/>
  <c r="B84" i="42"/>
  <c r="D33" i="42"/>
  <c r="B71" i="42"/>
  <c r="C33" i="42"/>
  <c r="D8" i="42"/>
  <c r="D11" i="42" s="1"/>
  <c r="D32" i="42"/>
  <c r="G23" i="27"/>
  <c r="J56" i="27"/>
  <c r="C79" i="42"/>
  <c r="F91" i="42"/>
  <c r="G95" i="42"/>
  <c r="C34" i="42"/>
  <c r="C68" i="42"/>
  <c r="G72" i="42"/>
  <c r="C75" i="42"/>
  <c r="F37" i="27"/>
  <c r="D31" i="42"/>
  <c r="G74" i="42"/>
  <c r="F40" i="42"/>
  <c r="F45" i="42"/>
  <c r="F78" i="42"/>
  <c r="G91" i="42"/>
  <c r="C31" i="42"/>
  <c r="C84" i="42"/>
  <c r="C30" i="42"/>
  <c r="B73" i="42"/>
  <c r="B74" i="42"/>
  <c r="C85" i="42"/>
  <c r="B82" i="42"/>
  <c r="C77" i="42"/>
  <c r="L64" i="27"/>
  <c r="I168" i="13"/>
  <c r="I162" i="13"/>
  <c r="I161" i="13"/>
  <c r="I166" i="13"/>
  <c r="I167" i="13"/>
  <c r="N159" i="13"/>
  <c r="K164" i="13"/>
  <c r="K168" i="13"/>
  <c r="K162" i="13"/>
  <c r="K165" i="13"/>
  <c r="K167" i="13"/>
  <c r="K163" i="13"/>
  <c r="K161" i="13"/>
  <c r="D36" i="42"/>
  <c r="K166" i="13"/>
  <c r="K160" i="13"/>
  <c r="K159" i="13"/>
  <c r="B44" i="38"/>
  <c r="C44" i="38"/>
  <c r="B43" i="38"/>
  <c r="C43" i="38" s="1"/>
  <c r="E98" i="42"/>
  <c r="E96" i="42"/>
  <c r="E95" i="42"/>
  <c r="J100" i="27"/>
  <c r="E107" i="42"/>
  <c r="G43" i="31"/>
  <c r="G44" i="31"/>
  <c r="F98" i="42"/>
  <c r="E93" i="42"/>
  <c r="F97" i="42"/>
  <c r="I45" i="31"/>
  <c r="I57" i="31"/>
  <c r="F93" i="42"/>
  <c r="F102" i="42"/>
  <c r="D45" i="31"/>
  <c r="E42" i="31"/>
  <c r="C102" i="42"/>
  <c r="E40" i="31"/>
  <c r="C96" i="42"/>
  <c r="C98" i="42"/>
  <c r="D83" i="42"/>
  <c r="F83" i="42"/>
  <c r="H100" i="27"/>
  <c r="F77" i="42"/>
  <c r="D81" i="42"/>
  <c r="D74" i="42"/>
  <c r="D85" i="42"/>
  <c r="E79" i="42"/>
  <c r="D67" i="42"/>
  <c r="D86" i="42" s="1"/>
  <c r="D69" i="42"/>
  <c r="F81" i="42"/>
  <c r="F80" i="42"/>
  <c r="G82" i="42"/>
  <c r="I100" i="27"/>
  <c r="D84" i="42"/>
  <c r="G67" i="42"/>
  <c r="G86" i="42" s="1"/>
  <c r="D82" i="42"/>
  <c r="E82" i="42"/>
  <c r="D73" i="42"/>
  <c r="D80" i="42"/>
  <c r="F67" i="42"/>
  <c r="F86" i="42"/>
  <c r="E72" i="42"/>
  <c r="G79" i="42"/>
  <c r="G85" i="42"/>
  <c r="F85" i="42"/>
  <c r="E68" i="42"/>
  <c r="E84" i="42"/>
  <c r="D68" i="42"/>
  <c r="G69" i="42"/>
  <c r="F68" i="42"/>
  <c r="D71" i="42"/>
  <c r="F69" i="42"/>
  <c r="G68" i="42"/>
  <c r="E73" i="42"/>
  <c r="F70" i="42"/>
  <c r="F75" i="42"/>
  <c r="F79" i="42"/>
  <c r="D53" i="42"/>
  <c r="E53" i="42"/>
  <c r="D49" i="42"/>
  <c r="D55" i="42"/>
  <c r="D51" i="42"/>
  <c r="G53" i="42"/>
  <c r="D52" i="42"/>
  <c r="G54" i="42"/>
  <c r="C64" i="27"/>
  <c r="G49" i="42"/>
  <c r="G55" i="42" s="1"/>
  <c r="G52" i="42"/>
  <c r="G41" i="42"/>
  <c r="F46" i="27"/>
  <c r="G40" i="42"/>
  <c r="G45" i="42" s="1"/>
  <c r="L46" i="27"/>
  <c r="D44" i="42"/>
  <c r="D43" i="42"/>
  <c r="L56" i="27"/>
  <c r="D46" i="27"/>
  <c r="C42" i="42"/>
  <c r="G42" i="42"/>
  <c r="F56" i="27"/>
  <c r="B44" i="42"/>
  <c r="N165" i="13"/>
  <c r="C26" i="42"/>
  <c r="C36" i="42" s="1"/>
  <c r="D37" i="27"/>
  <c r="N168" i="13"/>
  <c r="C32" i="42"/>
  <c r="C28" i="42"/>
  <c r="C29" i="42"/>
  <c r="C20" i="42"/>
  <c r="G17" i="42"/>
  <c r="F17" i="42"/>
  <c r="F21" i="42"/>
  <c r="F18" i="42"/>
  <c r="I37" i="27"/>
  <c r="C16" i="42"/>
  <c r="C22" i="42" s="1"/>
  <c r="E9" i="42"/>
  <c r="B23" i="27"/>
  <c r="E10" i="42"/>
  <c r="D23" i="45"/>
  <c r="C18" i="30"/>
  <c r="F99" i="27"/>
  <c r="D63" i="27"/>
  <c r="C59" i="42" s="1"/>
  <c r="C63" i="42" s="1"/>
  <c r="H37" i="27"/>
  <c r="F30" i="42"/>
  <c r="F31" i="42"/>
  <c r="F35" i="42"/>
  <c r="F34" i="42"/>
  <c r="F29" i="42"/>
  <c r="E99" i="27"/>
  <c r="E100" i="27" s="1"/>
  <c r="E57" i="31"/>
  <c r="F63" i="27"/>
  <c r="H30" i="29"/>
  <c r="H34" i="29" s="1"/>
  <c r="H63" i="27"/>
  <c r="H87" i="27"/>
  <c r="F30" i="29"/>
  <c r="U30" i="29" s="1"/>
  <c r="E63" i="27"/>
  <c r="G63" i="27"/>
  <c r="F27" i="42"/>
  <c r="F33" i="42"/>
  <c r="G57" i="31"/>
  <c r="I63" i="27"/>
  <c r="I64" i="27" s="1"/>
  <c r="F28" i="42"/>
  <c r="E30" i="42"/>
  <c r="F32" i="42"/>
  <c r="F26" i="42"/>
  <c r="M163" i="13" s="1"/>
  <c r="J46" i="27"/>
  <c r="J159" i="13"/>
  <c r="J164" i="13"/>
  <c r="J166" i="13"/>
  <c r="J165" i="13"/>
  <c r="J160" i="13"/>
  <c r="J162" i="13"/>
  <c r="J168" i="13"/>
  <c r="J161" i="13"/>
  <c r="J163" i="13"/>
  <c r="J167" i="13"/>
  <c r="D64" i="27"/>
  <c r="C61" i="42"/>
  <c r="E62" i="42"/>
  <c r="E59" i="42"/>
  <c r="E63" i="42" s="1"/>
  <c r="E61" i="42"/>
  <c r="E60" i="42"/>
  <c r="H64" i="27"/>
  <c r="M159" i="13"/>
  <c r="I87" i="27"/>
  <c r="E5" i="17"/>
  <c r="C45" i="45" l="1"/>
  <c r="C46" i="45" s="1"/>
  <c r="F45" i="45"/>
  <c r="F46" i="45" s="1"/>
  <c r="C7" i="45"/>
  <c r="D13" i="26"/>
  <c r="I4" i="19"/>
  <c r="C27" i="45"/>
  <c r="D45" i="45"/>
  <c r="D46" i="45" s="1"/>
  <c r="E45" i="45"/>
  <c r="E46" i="45" s="1"/>
  <c r="D12" i="26"/>
  <c r="K17" i="45"/>
  <c r="N8" i="13"/>
  <c r="D8" i="26"/>
  <c r="D9" i="26"/>
  <c r="C23" i="45"/>
  <c r="C24" i="45" s="1"/>
  <c r="D24" i="45" s="1"/>
  <c r="E24" i="45" s="1"/>
  <c r="F24" i="45" s="1"/>
  <c r="H14" i="17"/>
  <c r="G14" i="17"/>
  <c r="M166" i="13"/>
  <c r="K87" i="27"/>
  <c r="M37" i="27"/>
  <c r="K22" i="45"/>
  <c r="G37" i="45"/>
  <c r="G42" i="45"/>
  <c r="M160" i="13"/>
  <c r="M165" i="13"/>
  <c r="F36" i="42"/>
  <c r="M164" i="13"/>
  <c r="C41" i="42"/>
  <c r="C72" i="42"/>
  <c r="C70" i="42"/>
  <c r="B59" i="42"/>
  <c r="B63" i="42" s="1"/>
  <c r="I42" i="31"/>
  <c r="G98" i="42"/>
  <c r="C82" i="42"/>
  <c r="F50" i="42"/>
  <c r="F49" i="42"/>
  <c r="F55" i="42" s="1"/>
  <c r="D56" i="27"/>
  <c r="B62" i="42"/>
  <c r="C87" i="27"/>
  <c r="G43" i="42"/>
  <c r="M161" i="13"/>
  <c r="M168" i="13"/>
  <c r="M167" i="13"/>
  <c r="M162" i="13"/>
  <c r="T6" i="17"/>
  <c r="M23" i="27"/>
  <c r="G108" i="42"/>
  <c r="H56" i="27"/>
  <c r="C76" i="42"/>
  <c r="C80" i="42"/>
  <c r="B96" i="42"/>
  <c r="I44" i="31"/>
  <c r="M64" i="27"/>
  <c r="G106" i="42"/>
  <c r="E37" i="27"/>
  <c r="E44" i="42"/>
  <c r="F53" i="42"/>
  <c r="G51" i="42"/>
  <c r="C67" i="42"/>
  <c r="C86" i="42" s="1"/>
  <c r="G102" i="42"/>
  <c r="C81" i="42"/>
  <c r="F54" i="42"/>
  <c r="C78" i="42"/>
  <c r="C71" i="42"/>
  <c r="C69" i="42"/>
  <c r="E56" i="27"/>
  <c r="K56" i="27"/>
  <c r="D11" i="26"/>
  <c r="G96" i="42"/>
  <c r="G101" i="42"/>
  <c r="F51" i="42"/>
  <c r="C43" i="42"/>
  <c r="E40" i="42"/>
  <c r="E45" i="42" s="1"/>
  <c r="I43" i="31"/>
  <c r="I38" i="31" s="1"/>
  <c r="I36" i="31" s="1"/>
  <c r="N139" i="13" s="1"/>
  <c r="N141" i="13" s="1"/>
  <c r="C56" i="27"/>
  <c r="D50" i="42"/>
  <c r="G23" i="45"/>
  <c r="F24" i="41"/>
  <c r="D24" i="41"/>
  <c r="D21" i="31"/>
  <c r="H21" i="31"/>
  <c r="G21" i="31"/>
  <c r="F21" i="31"/>
  <c r="G21" i="29"/>
  <c r="V21" i="29" s="1"/>
  <c r="D21" i="29"/>
  <c r="S21" i="29" s="1"/>
  <c r="H4" i="41"/>
  <c r="V6" i="29"/>
  <c r="O6" i="29"/>
  <c r="O6" i="30" s="1"/>
  <c r="I4" i="31"/>
  <c r="I3" i="31" s="1"/>
  <c r="N24" i="13"/>
  <c r="N4" i="13"/>
  <c r="E4" i="26"/>
  <c r="G6" i="42"/>
  <c r="G89" i="42" s="1"/>
  <c r="G105" i="42" s="1"/>
  <c r="N79" i="13"/>
  <c r="H6" i="30"/>
  <c r="B4" i="38"/>
  <c r="B40" i="38" s="1"/>
  <c r="F16" i="29"/>
  <c r="H16" i="29"/>
  <c r="C16" i="29"/>
  <c r="E16" i="29"/>
  <c r="T16" i="29" s="1"/>
  <c r="L6" i="27"/>
  <c r="H38" i="31"/>
  <c r="H36" i="31" s="1"/>
  <c r="M139" i="13" s="1"/>
  <c r="M141" i="13" s="1"/>
  <c r="D41" i="41"/>
  <c r="D42" i="41" s="1"/>
  <c r="G41" i="41"/>
  <c r="G42" i="41" s="1"/>
  <c r="E41" i="41"/>
  <c r="H42" i="41"/>
  <c r="E40" i="41"/>
  <c r="G18" i="30"/>
  <c r="G20" i="30" s="1"/>
  <c r="G27" i="30" s="1"/>
  <c r="G34" i="30" s="1"/>
  <c r="G6" i="41" s="1"/>
  <c r="G10" i="41" s="1"/>
  <c r="G15" i="41" s="1"/>
  <c r="F45" i="29"/>
  <c r="G45" i="29"/>
  <c r="E6" i="31"/>
  <c r="J99" i="13" s="1"/>
  <c r="H18" i="30"/>
  <c r="D18" i="30"/>
  <c r="D20" i="30" s="1"/>
  <c r="D27" i="30" s="1"/>
  <c r="D34" i="30" s="1"/>
  <c r="I6" i="31"/>
  <c r="N99" i="13" s="1"/>
  <c r="F18" i="30"/>
  <c r="F20" i="30" s="1"/>
  <c r="F27" i="30" s="1"/>
  <c r="G28" i="41"/>
  <c r="F34" i="29"/>
  <c r="G34" i="29"/>
  <c r="V34" i="29" s="1"/>
  <c r="C34" i="29"/>
  <c r="R34" i="29" s="1"/>
  <c r="E34" i="29"/>
  <c r="T34" i="29" s="1"/>
  <c r="D6" i="31"/>
  <c r="I99" i="13" s="1"/>
  <c r="H6" i="31"/>
  <c r="M99" i="13" s="1"/>
  <c r="F25" i="41"/>
  <c r="D25" i="41"/>
  <c r="E25" i="41"/>
  <c r="H25" i="41"/>
  <c r="G25" i="41"/>
  <c r="D45" i="29"/>
  <c r="G24" i="41"/>
  <c r="H45" i="29"/>
  <c r="H46" i="29" s="1"/>
  <c r="H24" i="41"/>
  <c r="E24" i="41"/>
  <c r="D34" i="29"/>
  <c r="E21" i="31"/>
  <c r="I21" i="31"/>
  <c r="C21" i="29"/>
  <c r="R21" i="29" s="1"/>
  <c r="E21" i="29"/>
  <c r="T21" i="29" s="1"/>
  <c r="G6" i="29"/>
  <c r="U6" i="30" s="1"/>
  <c r="K37" i="27"/>
  <c r="K46" i="27"/>
  <c r="F124" i="42"/>
  <c r="I114" i="42" s="1"/>
  <c r="I124" i="42" s="1"/>
  <c r="F64" i="27"/>
  <c r="D61" i="42"/>
  <c r="D60" i="42"/>
  <c r="D62" i="42"/>
  <c r="D59" i="42"/>
  <c r="D63" i="42" s="1"/>
  <c r="F87" i="27"/>
  <c r="B52" i="42"/>
  <c r="B56" i="27"/>
  <c r="B53" i="42"/>
  <c r="B49" i="42"/>
  <c r="B55" i="42" s="1"/>
  <c r="B51" i="42"/>
  <c r="B54" i="42"/>
  <c r="B64" i="27"/>
  <c r="B50" i="42"/>
  <c r="G6" i="31"/>
  <c r="L99" i="13" s="1"/>
  <c r="D102" i="42"/>
  <c r="F44" i="31"/>
  <c r="D96" i="42"/>
  <c r="D95" i="42"/>
  <c r="D108" i="42"/>
  <c r="D91" i="42"/>
  <c r="F41" i="31"/>
  <c r="D107" i="42"/>
  <c r="F43" i="31"/>
  <c r="D98" i="42"/>
  <c r="F42" i="31"/>
  <c r="D97" i="42"/>
  <c r="F100" i="27"/>
  <c r="F39" i="31"/>
  <c r="F40" i="31"/>
  <c r="D101" i="42"/>
  <c r="D106" i="42"/>
  <c r="F45" i="31"/>
  <c r="G45" i="31"/>
  <c r="F57" i="31"/>
  <c r="D93" i="42"/>
  <c r="D94" i="42"/>
  <c r="C20" i="30"/>
  <c r="F99" i="42"/>
  <c r="E26" i="42"/>
  <c r="E29" i="42"/>
  <c r="E27" i="42"/>
  <c r="E33" i="42"/>
  <c r="E32" i="42"/>
  <c r="E31" i="42"/>
  <c r="E35" i="42"/>
  <c r="E34" i="42"/>
  <c r="E28" i="42"/>
  <c r="H46" i="27"/>
  <c r="I46" i="27"/>
  <c r="I56" i="27"/>
  <c r="B100" i="27"/>
  <c r="B98" i="42"/>
  <c r="B91" i="42"/>
  <c r="D42" i="31"/>
  <c r="B106" i="42"/>
  <c r="D39" i="31"/>
  <c r="B95" i="42"/>
  <c r="B102" i="42"/>
  <c r="B97" i="42"/>
  <c r="B107" i="42"/>
  <c r="D44" i="31"/>
  <c r="D43" i="31"/>
  <c r="D41" i="31"/>
  <c r="E45" i="31"/>
  <c r="D57" i="31"/>
  <c r="B94" i="42"/>
  <c r="B101" i="42"/>
  <c r="B108" i="42"/>
  <c r="B93" i="42"/>
  <c r="N164" i="13"/>
  <c r="N167" i="13"/>
  <c r="N162" i="13"/>
  <c r="N161" i="13"/>
  <c r="N163" i="13"/>
  <c r="N160" i="13"/>
  <c r="N166" i="13"/>
  <c r="G36" i="42"/>
  <c r="G16" i="29"/>
  <c r="D124" i="42"/>
  <c r="E118" i="42" s="1"/>
  <c r="E115" i="42"/>
  <c r="G121" i="42"/>
  <c r="F12" i="26"/>
  <c r="F13" i="26"/>
  <c r="F9" i="26"/>
  <c r="F10" i="26"/>
  <c r="F11" i="26"/>
  <c r="B124" i="42"/>
  <c r="C122" i="42" s="1"/>
  <c r="D87" i="27"/>
  <c r="C62" i="42"/>
  <c r="C60" i="42"/>
  <c r="G64" i="27"/>
  <c r="G87" i="27"/>
  <c r="E64" i="27"/>
  <c r="E87" i="27"/>
  <c r="C91" i="42"/>
  <c r="C108" i="42"/>
  <c r="E43" i="31"/>
  <c r="D100" i="27"/>
  <c r="C107" i="42"/>
  <c r="C94" i="42"/>
  <c r="E39" i="31"/>
  <c r="C93" i="42"/>
  <c r="E44" i="31"/>
  <c r="E41" i="31"/>
  <c r="C106" i="42"/>
  <c r="C101" i="42"/>
  <c r="C97" i="42"/>
  <c r="T2" i="17"/>
  <c r="T3" i="17"/>
  <c r="T4" i="17"/>
  <c r="T8" i="17"/>
  <c r="E71" i="42"/>
  <c r="E69" i="42"/>
  <c r="E81" i="42"/>
  <c r="E83" i="42"/>
  <c r="E78" i="42"/>
  <c r="E76" i="42"/>
  <c r="E80" i="42"/>
  <c r="E70" i="42"/>
  <c r="E85" i="42"/>
  <c r="E77" i="42"/>
  <c r="E75" i="42"/>
  <c r="E67" i="42"/>
  <c r="E86" i="42" s="1"/>
  <c r="E74" i="42"/>
  <c r="C95" i="42"/>
  <c r="F6" i="31"/>
  <c r="K99" i="13" s="1"/>
  <c r="C37" i="27"/>
  <c r="C23" i="27"/>
  <c r="F19" i="42"/>
  <c r="F16" i="42"/>
  <c r="F22" i="42" s="1"/>
  <c r="J23" i="27"/>
  <c r="F20" i="42"/>
  <c r="J37" i="27"/>
  <c r="E18" i="30"/>
  <c r="D23" i="27"/>
  <c r="C21" i="42"/>
  <c r="C19" i="42"/>
  <c r="C18" i="42"/>
  <c r="T7" i="17"/>
  <c r="A95" i="14"/>
  <c r="F6" i="29"/>
  <c r="T6" i="30" s="1"/>
  <c r="J64" i="27"/>
  <c r="J87" i="27"/>
  <c r="F59" i="42"/>
  <c r="F63" i="42" s="1"/>
  <c r="F61" i="42"/>
  <c r="F62" i="42"/>
  <c r="G18" i="42"/>
  <c r="G21" i="42"/>
  <c r="L37" i="27"/>
  <c r="G19" i="42"/>
  <c r="G16" i="42"/>
  <c r="G22" i="42" s="1"/>
  <c r="G20" i="42"/>
  <c r="B10" i="42"/>
  <c r="B8" i="42"/>
  <c r="B11" i="42" s="1"/>
  <c r="C50" i="42"/>
  <c r="C49" i="42"/>
  <c r="C55" i="42" s="1"/>
  <c r="C52" i="42"/>
  <c r="C53" i="42"/>
  <c r="C54" i="42"/>
  <c r="T5" i="17"/>
  <c r="L100" i="27"/>
  <c r="L87" i="27"/>
  <c r="G77" i="42"/>
  <c r="G75" i="42"/>
  <c r="G83" i="42"/>
  <c r="G71" i="42"/>
  <c r="G73" i="42"/>
  <c r="G76" i="42"/>
  <c r="G80" i="42"/>
  <c r="G70" i="42"/>
  <c r="G84" i="42"/>
  <c r="I160" i="13"/>
  <c r="I159" i="13"/>
  <c r="B36" i="42"/>
  <c r="I164" i="13"/>
  <c r="E101" i="42"/>
  <c r="G41" i="31"/>
  <c r="G39" i="31"/>
  <c r="G40" i="31"/>
  <c r="E108" i="42"/>
  <c r="G42" i="31"/>
  <c r="E91" i="42"/>
  <c r="E99" i="42" s="1"/>
  <c r="H45" i="31"/>
  <c r="H124" i="42"/>
  <c r="C51" i="42"/>
  <c r="D41" i="42"/>
  <c r="D42" i="42"/>
  <c r="D40" i="42"/>
  <c r="D45" i="42" s="1"/>
  <c r="T9" i="17"/>
  <c r="J16" i="17"/>
  <c r="K23" i="27"/>
  <c r="E45" i="29"/>
  <c r="T45" i="29" s="1"/>
  <c r="D16" i="29"/>
  <c r="I163" i="13"/>
  <c r="I165" i="13"/>
  <c r="D20" i="42"/>
  <c r="F23" i="27"/>
  <c r="D18" i="42"/>
  <c r="D19" i="42"/>
  <c r="G46" i="27"/>
  <c r="G56" i="27"/>
  <c r="B83" i="42"/>
  <c r="B77" i="42"/>
  <c r="B67" i="42"/>
  <c r="B86" i="42" s="1"/>
  <c r="B79" i="42"/>
  <c r="B69" i="42"/>
  <c r="B78" i="42"/>
  <c r="B68" i="42"/>
  <c r="B87" i="27"/>
  <c r="B80" i="42"/>
  <c r="B85" i="42"/>
  <c r="T10" i="17"/>
  <c r="E8" i="42"/>
  <c r="E11" i="42" s="1"/>
  <c r="H23" i="27"/>
  <c r="C45" i="29"/>
  <c r="R45" i="29" s="1"/>
  <c r="C100" i="27"/>
  <c r="I92" i="14"/>
  <c r="N118" i="13" l="1"/>
  <c r="D7" i="26"/>
  <c r="G99" i="42"/>
  <c r="N158" i="13"/>
  <c r="N42" i="13"/>
  <c r="N98" i="13"/>
  <c r="N61" i="13"/>
  <c r="G24" i="45"/>
  <c r="H24" i="45" s="1"/>
  <c r="I24" i="45" s="1"/>
  <c r="J24" i="45" s="1"/>
  <c r="N138" i="13"/>
  <c r="E123" i="42"/>
  <c r="F7" i="26"/>
  <c r="D30" i="41"/>
  <c r="D15" i="17"/>
  <c r="E15" i="17" s="1"/>
  <c r="G15" i="17" s="1"/>
  <c r="H15" i="17"/>
  <c r="H16" i="17" s="1"/>
  <c r="H17" i="17" s="1"/>
  <c r="H18" i="17" s="1"/>
  <c r="H19" i="17" s="1"/>
  <c r="H20" i="17" s="1"/>
  <c r="H21" i="17" s="1"/>
  <c r="H22" i="17" s="1"/>
  <c r="H23" i="17" s="1"/>
  <c r="S45" i="29"/>
  <c r="V45" i="29"/>
  <c r="U45" i="29"/>
  <c r="S34" i="29"/>
  <c r="U34" i="29"/>
  <c r="S16" i="29"/>
  <c r="R16" i="29"/>
  <c r="F22" i="29"/>
  <c r="M18" i="29" s="1"/>
  <c r="U16" i="29"/>
  <c r="V16" i="29"/>
  <c r="U12" i="30"/>
  <c r="M62" i="13" s="1"/>
  <c r="U17" i="30"/>
  <c r="M63" i="13" s="1"/>
  <c r="U22" i="30"/>
  <c r="U26" i="30"/>
  <c r="M64" i="13" s="1"/>
  <c r="U35" i="30"/>
  <c r="U9" i="30"/>
  <c r="U11" i="30"/>
  <c r="U14" i="30"/>
  <c r="U16" i="30"/>
  <c r="U18" i="30"/>
  <c r="U20" i="30"/>
  <c r="U23" i="30"/>
  <c r="U25" i="30"/>
  <c r="U27" i="30"/>
  <c r="U32" i="30"/>
  <c r="U34" i="30"/>
  <c r="U8" i="30"/>
  <c r="U19" i="30"/>
  <c r="U24" i="30"/>
  <c r="U33" i="30"/>
  <c r="U29" i="30"/>
  <c r="V11" i="30"/>
  <c r="V9" i="30"/>
  <c r="V29" i="30"/>
  <c r="V25" i="30"/>
  <c r="V22" i="30"/>
  <c r="V23" i="30"/>
  <c r="V33" i="30"/>
  <c r="T8" i="30"/>
  <c r="T12" i="30"/>
  <c r="L62" i="13" s="1"/>
  <c r="T17" i="30"/>
  <c r="L63" i="13" s="1"/>
  <c r="T33" i="30"/>
  <c r="T35" i="30"/>
  <c r="T9" i="30"/>
  <c r="T11" i="30"/>
  <c r="T16" i="30"/>
  <c r="V17" i="30"/>
  <c r="N63" i="13" s="1"/>
  <c r="V26" i="30"/>
  <c r="N64" i="13" s="1"/>
  <c r="V32" i="30"/>
  <c r="V35" i="30"/>
  <c r="F6" i="42"/>
  <c r="F14" i="42" s="1"/>
  <c r="F24" i="42" s="1"/>
  <c r="F38" i="42" s="1"/>
  <c r="F47" i="42" s="1"/>
  <c r="F57" i="42" s="1"/>
  <c r="F65" i="42" s="1"/>
  <c r="V12" i="30"/>
  <c r="N62" i="13" s="1"/>
  <c r="V18" i="30"/>
  <c r="V8" i="30"/>
  <c r="V16" i="30"/>
  <c r="V24" i="30"/>
  <c r="G14" i="42"/>
  <c r="G24" i="42" s="1"/>
  <c r="G38" i="42" s="1"/>
  <c r="G47" i="42" s="1"/>
  <c r="G57" i="42" s="1"/>
  <c r="G65" i="42" s="1"/>
  <c r="V14" i="30"/>
  <c r="V19" i="30"/>
  <c r="F30" i="41"/>
  <c r="H19" i="31"/>
  <c r="N6" i="29"/>
  <c r="N6" i="30" s="1"/>
  <c r="U6" i="29"/>
  <c r="F4" i="41"/>
  <c r="M6" i="29"/>
  <c r="M6" i="30" s="1"/>
  <c r="T6" i="29"/>
  <c r="M17" i="29"/>
  <c r="M36" i="29"/>
  <c r="M38" i="29"/>
  <c r="H22" i="29"/>
  <c r="O16" i="29" s="1"/>
  <c r="L89" i="27"/>
  <c r="L105" i="27" s="1"/>
  <c r="L14" i="27"/>
  <c r="L24" i="27" s="1"/>
  <c r="L38" i="27" s="1"/>
  <c r="L47" i="27" s="1"/>
  <c r="L57" i="27" s="1"/>
  <c r="L65" i="27" s="1"/>
  <c r="E42" i="41"/>
  <c r="G19" i="31"/>
  <c r="H20" i="30"/>
  <c r="V20" i="30" s="1"/>
  <c r="H28" i="41"/>
  <c r="H30" i="41" s="1"/>
  <c r="G17" i="31"/>
  <c r="F46" i="29"/>
  <c r="D46" i="29"/>
  <c r="H17" i="31"/>
  <c r="G46" i="29"/>
  <c r="V46" i="29" s="1"/>
  <c r="G30" i="41"/>
  <c r="G32" i="41" s="1"/>
  <c r="G36" i="41" s="1"/>
  <c r="E30" i="41"/>
  <c r="D6" i="41"/>
  <c r="D36" i="30"/>
  <c r="F34" i="30"/>
  <c r="E19" i="31"/>
  <c r="I19" i="31"/>
  <c r="I17" i="31"/>
  <c r="I23" i="31"/>
  <c r="E17" i="31"/>
  <c r="E22" i="29"/>
  <c r="C22" i="29"/>
  <c r="G4" i="41"/>
  <c r="H4" i="31"/>
  <c r="M24" i="13"/>
  <c r="G6" i="30"/>
  <c r="M4" i="13"/>
  <c r="J6" i="27"/>
  <c r="M79" i="13"/>
  <c r="M8" i="13"/>
  <c r="D22" i="29"/>
  <c r="E6" i="42"/>
  <c r="L24" i="13"/>
  <c r="L8" i="13"/>
  <c r="H6" i="27"/>
  <c r="L4" i="13"/>
  <c r="L79" i="13"/>
  <c r="F6" i="30"/>
  <c r="G4" i="31"/>
  <c r="I121" i="42"/>
  <c r="F19" i="31"/>
  <c r="E46" i="29"/>
  <c r="A96" i="14"/>
  <c r="E6" i="29"/>
  <c r="S6" i="30" s="1"/>
  <c r="T24" i="30" s="1"/>
  <c r="C121" i="42"/>
  <c r="C119" i="42"/>
  <c r="C116" i="42"/>
  <c r="C114" i="42"/>
  <c r="C124" i="42" s="1"/>
  <c r="C118" i="42"/>
  <c r="C123" i="42"/>
  <c r="B99" i="42"/>
  <c r="I32" i="31"/>
  <c r="N83" i="13" s="1"/>
  <c r="I26" i="31"/>
  <c r="I28" i="31"/>
  <c r="N81" i="13" s="1"/>
  <c r="I30" i="31"/>
  <c r="N82" i="13" s="1"/>
  <c r="I15" i="31"/>
  <c r="G116" i="42"/>
  <c r="G22" i="29"/>
  <c r="G38" i="31"/>
  <c r="G36" i="31" s="1"/>
  <c r="L139" i="13" s="1"/>
  <c r="L141" i="13" s="1"/>
  <c r="F89" i="42"/>
  <c r="F105" i="42" s="1"/>
  <c r="E117" i="42"/>
  <c r="E119" i="42"/>
  <c r="E122" i="42"/>
  <c r="E116" i="42"/>
  <c r="E121" i="42"/>
  <c r="E114" i="42"/>
  <c r="E124" i="42" s="1"/>
  <c r="H24" i="17"/>
  <c r="C120" i="42"/>
  <c r="I117" i="42"/>
  <c r="I123" i="42"/>
  <c r="G114" i="42"/>
  <c r="G124" i="42" s="1"/>
  <c r="I118" i="42"/>
  <c r="G122" i="42"/>
  <c r="G120" i="42"/>
  <c r="G115" i="42"/>
  <c r="I119" i="42"/>
  <c r="I116" i="42"/>
  <c r="I120" i="42"/>
  <c r="G117" i="42"/>
  <c r="G123" i="42"/>
  <c r="I122" i="42"/>
  <c r="K16" i="17"/>
  <c r="J17" i="17"/>
  <c r="E38" i="31"/>
  <c r="E36" i="31" s="1"/>
  <c r="J139" i="13" s="1"/>
  <c r="J141" i="13" s="1"/>
  <c r="F17" i="31"/>
  <c r="C117" i="42"/>
  <c r="L166" i="13"/>
  <c r="L159" i="13"/>
  <c r="L168" i="13"/>
  <c r="L167" i="13"/>
  <c r="L163" i="13"/>
  <c r="E36" i="42"/>
  <c r="L165" i="13"/>
  <c r="L161" i="13"/>
  <c r="L162" i="13"/>
  <c r="L160" i="13"/>
  <c r="L164" i="13"/>
  <c r="C27" i="30"/>
  <c r="F38" i="31"/>
  <c r="F36" i="31" s="1"/>
  <c r="K139" i="13" s="1"/>
  <c r="K141" i="13" s="1"/>
  <c r="I115" i="42"/>
  <c r="I50" i="31"/>
  <c r="G119" i="42"/>
  <c r="C99" i="42"/>
  <c r="D99" i="42"/>
  <c r="G118" i="42"/>
  <c r="C46" i="29"/>
  <c r="D17" i="31"/>
  <c r="D19" i="31"/>
  <c r="C115" i="42"/>
  <c r="E20" i="30"/>
  <c r="T20" i="30" s="1"/>
  <c r="G36" i="30"/>
  <c r="D38" i="31"/>
  <c r="D36" i="31" s="1"/>
  <c r="I139" i="13" s="1"/>
  <c r="I141" i="13" s="1"/>
  <c r="E120" i="42"/>
  <c r="M25" i="29" l="1"/>
  <c r="G13" i="31"/>
  <c r="M15" i="29"/>
  <c r="M9" i="29"/>
  <c r="M13" i="29"/>
  <c r="S46" i="29"/>
  <c r="U46" i="29"/>
  <c r="R46" i="29"/>
  <c r="T46" i="29"/>
  <c r="M19" i="29"/>
  <c r="M22" i="29"/>
  <c r="M45" i="29"/>
  <c r="L25" i="13" s="1"/>
  <c r="M37" i="29"/>
  <c r="I13" i="31"/>
  <c r="V22" i="29"/>
  <c r="N43" i="13" s="1"/>
  <c r="M39" i="29"/>
  <c r="M41" i="29"/>
  <c r="M28" i="29"/>
  <c r="M10" i="29"/>
  <c r="M30" i="29"/>
  <c r="M14" i="29"/>
  <c r="L11" i="13" s="1"/>
  <c r="M31" i="29"/>
  <c r="M43" i="29"/>
  <c r="M20" i="29"/>
  <c r="M46" i="29"/>
  <c r="M21" i="29"/>
  <c r="M34" i="29"/>
  <c r="M42" i="29"/>
  <c r="M11" i="29"/>
  <c r="L9" i="13" s="1"/>
  <c r="M29" i="29"/>
  <c r="M26" i="29"/>
  <c r="O32" i="30"/>
  <c r="M16" i="29"/>
  <c r="M33" i="29"/>
  <c r="M32" i="29"/>
  <c r="M44" i="29"/>
  <c r="M8" i="29"/>
  <c r="O33" i="30"/>
  <c r="O35" i="30"/>
  <c r="O22" i="30"/>
  <c r="O26" i="30"/>
  <c r="H47" i="29"/>
  <c r="O17" i="30"/>
  <c r="O14" i="30"/>
  <c r="R22" i="29"/>
  <c r="J43" i="13" s="1"/>
  <c r="O23" i="30"/>
  <c r="O8" i="30"/>
  <c r="L16" i="29"/>
  <c r="T22" i="29"/>
  <c r="L43" i="13" s="1"/>
  <c r="M12" i="29"/>
  <c r="L10" i="13" s="1"/>
  <c r="M27" i="29"/>
  <c r="M40" i="29"/>
  <c r="O29" i="30"/>
  <c r="O25" i="30"/>
  <c r="O24" i="30"/>
  <c r="K16" i="29"/>
  <c r="S22" i="29"/>
  <c r="K43" i="13" s="1"/>
  <c r="O12" i="30"/>
  <c r="O19" i="30"/>
  <c r="O16" i="30"/>
  <c r="U22" i="29"/>
  <c r="M43" i="13" s="1"/>
  <c r="O18" i="30"/>
  <c r="O20" i="30"/>
  <c r="O9" i="30"/>
  <c r="O11" i="30"/>
  <c r="T29" i="30"/>
  <c r="M14" i="30"/>
  <c r="M23" i="30"/>
  <c r="M27" i="30"/>
  <c r="M8" i="30"/>
  <c r="M17" i="30"/>
  <c r="M26" i="30"/>
  <c r="M35" i="30"/>
  <c r="M24" i="30"/>
  <c r="M33" i="30"/>
  <c r="M9" i="30"/>
  <c r="M16" i="30"/>
  <c r="M25" i="30"/>
  <c r="M34" i="30"/>
  <c r="M19" i="30"/>
  <c r="M29" i="30"/>
  <c r="M11" i="30"/>
  <c r="M20" i="30"/>
  <c r="M18" i="30"/>
  <c r="M12" i="30"/>
  <c r="M22" i="30"/>
  <c r="T27" i="30"/>
  <c r="T26" i="30"/>
  <c r="L64" i="13" s="1"/>
  <c r="T23" i="30"/>
  <c r="S17" i="30"/>
  <c r="K63" i="13" s="1"/>
  <c r="S19" i="30"/>
  <c r="S22" i="30"/>
  <c r="S24" i="30"/>
  <c r="S29" i="30"/>
  <c r="S16" i="30"/>
  <c r="S23" i="30"/>
  <c r="S11" i="30"/>
  <c r="S18" i="30"/>
  <c r="S14" i="30"/>
  <c r="S20" i="30"/>
  <c r="T18" i="30"/>
  <c r="T22" i="30"/>
  <c r="N19" i="30"/>
  <c r="N29" i="30"/>
  <c r="N26" i="30"/>
  <c r="N9" i="30"/>
  <c r="N27" i="30"/>
  <c r="N36" i="30"/>
  <c r="N14" i="30"/>
  <c r="N23" i="30"/>
  <c r="N32" i="30"/>
  <c r="N8" i="30"/>
  <c r="N17" i="30"/>
  <c r="N12" i="30"/>
  <c r="N22" i="30"/>
  <c r="N35" i="30"/>
  <c r="N16" i="30"/>
  <c r="N25" i="30"/>
  <c r="N34" i="30"/>
  <c r="N11" i="30"/>
  <c r="N20" i="30"/>
  <c r="N24" i="30"/>
  <c r="N33" i="30"/>
  <c r="N18" i="30"/>
  <c r="T25" i="30"/>
  <c r="T14" i="30"/>
  <c r="T19" i="30"/>
  <c r="E23" i="31"/>
  <c r="E4" i="41"/>
  <c r="L6" i="29"/>
  <c r="L6" i="30" s="1"/>
  <c r="S6" i="29"/>
  <c r="J15" i="29"/>
  <c r="J25" i="29"/>
  <c r="J33" i="29"/>
  <c r="J42" i="29"/>
  <c r="J17" i="29"/>
  <c r="J36" i="29"/>
  <c r="J20" i="29"/>
  <c r="J8" i="29"/>
  <c r="J14" i="29"/>
  <c r="J26" i="29"/>
  <c r="J34" i="29"/>
  <c r="J43" i="29"/>
  <c r="J27" i="29"/>
  <c r="J44" i="29"/>
  <c r="J30" i="29"/>
  <c r="J21" i="29"/>
  <c r="J40" i="29"/>
  <c r="J41" i="29"/>
  <c r="J9" i="29"/>
  <c r="J38" i="29"/>
  <c r="J12" i="29"/>
  <c r="I10" i="13" s="1"/>
  <c r="J39" i="29"/>
  <c r="J31" i="29"/>
  <c r="J22" i="29"/>
  <c r="J10" i="29"/>
  <c r="J18" i="29"/>
  <c r="J28" i="29"/>
  <c r="J37" i="29"/>
  <c r="J45" i="29"/>
  <c r="I25" i="13" s="1"/>
  <c r="J11" i="29"/>
  <c r="I9" i="13" s="1"/>
  <c r="J19" i="29"/>
  <c r="J29" i="29"/>
  <c r="J46" i="29"/>
  <c r="J32" i="29"/>
  <c r="J13" i="29"/>
  <c r="J16" i="29"/>
  <c r="L21" i="29"/>
  <c r="L31" i="29"/>
  <c r="L40" i="29"/>
  <c r="L15" i="29"/>
  <c r="L33" i="29"/>
  <c r="L42" i="29"/>
  <c r="L14" i="29"/>
  <c r="L22" i="29"/>
  <c r="L41" i="29"/>
  <c r="L8" i="29"/>
  <c r="L43" i="29"/>
  <c r="L10" i="29"/>
  <c r="L18" i="29"/>
  <c r="L28" i="29"/>
  <c r="L37" i="29"/>
  <c r="L45" i="29"/>
  <c r="K25" i="13" s="1"/>
  <c r="L25" i="29"/>
  <c r="L11" i="29"/>
  <c r="K9" i="13" s="1"/>
  <c r="L19" i="29"/>
  <c r="L29" i="29"/>
  <c r="L46" i="29"/>
  <c r="L32" i="29"/>
  <c r="L38" i="29"/>
  <c r="L34" i="29"/>
  <c r="L12" i="29"/>
  <c r="K10" i="13" s="1"/>
  <c r="L20" i="29"/>
  <c r="L30" i="29"/>
  <c r="L39" i="29"/>
  <c r="L9" i="29"/>
  <c r="L17" i="29"/>
  <c r="L27" i="29"/>
  <c r="K26" i="13" s="1"/>
  <c r="L36" i="29"/>
  <c r="L44" i="29"/>
  <c r="L26" i="29"/>
  <c r="L13" i="29"/>
  <c r="O14" i="29"/>
  <c r="O22" i="29"/>
  <c r="O32" i="29"/>
  <c r="O41" i="29"/>
  <c r="O26" i="29"/>
  <c r="O43" i="29"/>
  <c r="O25" i="29"/>
  <c r="O36" i="29"/>
  <c r="O11" i="29"/>
  <c r="N9" i="13" s="1"/>
  <c r="O19" i="29"/>
  <c r="O29" i="29"/>
  <c r="O38" i="29"/>
  <c r="O46" i="29"/>
  <c r="O8" i="29"/>
  <c r="O33" i="29"/>
  <c r="O39" i="29"/>
  <c r="O34" i="29"/>
  <c r="O15" i="29"/>
  <c r="O42" i="29"/>
  <c r="O12" i="29"/>
  <c r="N10" i="13" s="1"/>
  <c r="O20" i="29"/>
  <c r="O30" i="29"/>
  <c r="O27" i="29"/>
  <c r="O21" i="29"/>
  <c r="O31" i="29"/>
  <c r="O40" i="29"/>
  <c r="O10" i="29"/>
  <c r="O18" i="29"/>
  <c r="O28" i="29"/>
  <c r="O37" i="29"/>
  <c r="O45" i="29"/>
  <c r="N25" i="13" s="1"/>
  <c r="O9" i="29"/>
  <c r="O17" i="29"/>
  <c r="O44" i="29"/>
  <c r="O13" i="29"/>
  <c r="K10" i="29"/>
  <c r="K18" i="29"/>
  <c r="K28" i="29"/>
  <c r="K37" i="29"/>
  <c r="K45" i="29"/>
  <c r="J25" i="13" s="1"/>
  <c r="K30" i="29"/>
  <c r="K39" i="29"/>
  <c r="K21" i="29"/>
  <c r="K15" i="29"/>
  <c r="K25" i="29"/>
  <c r="K33" i="29"/>
  <c r="K42" i="29"/>
  <c r="K20" i="29"/>
  <c r="K19" i="29"/>
  <c r="K29" i="29"/>
  <c r="K46" i="29"/>
  <c r="K43" i="29"/>
  <c r="K40" i="29"/>
  <c r="K12" i="29"/>
  <c r="J10" i="13" s="1"/>
  <c r="K11" i="29"/>
  <c r="J9" i="13" s="1"/>
  <c r="K38" i="29"/>
  <c r="K8" i="29"/>
  <c r="K26" i="29"/>
  <c r="K34" i="29"/>
  <c r="K9" i="29"/>
  <c r="K17" i="29"/>
  <c r="K27" i="29"/>
  <c r="K36" i="29"/>
  <c r="K44" i="29"/>
  <c r="K14" i="29"/>
  <c r="K22" i="29"/>
  <c r="K32" i="29"/>
  <c r="K41" i="29"/>
  <c r="K31" i="29"/>
  <c r="K13" i="29"/>
  <c r="N11" i="29"/>
  <c r="M9" i="13" s="1"/>
  <c r="N19" i="29"/>
  <c r="N29" i="29"/>
  <c r="N38" i="29"/>
  <c r="N46" i="29"/>
  <c r="N21" i="29"/>
  <c r="N12" i="29"/>
  <c r="M10" i="13" s="1"/>
  <c r="N30" i="29"/>
  <c r="N27" i="29"/>
  <c r="N8" i="29"/>
  <c r="N26" i="29"/>
  <c r="N34" i="29"/>
  <c r="N43" i="29"/>
  <c r="N31" i="29"/>
  <c r="N40" i="29"/>
  <c r="N39" i="29"/>
  <c r="N36" i="29"/>
  <c r="N22" i="29"/>
  <c r="N32" i="29"/>
  <c r="N20" i="29"/>
  <c r="N9" i="29"/>
  <c r="N17" i="29"/>
  <c r="N44" i="29"/>
  <c r="N14" i="29"/>
  <c r="N41" i="29"/>
  <c r="N10" i="29"/>
  <c r="N18" i="29"/>
  <c r="N28" i="29"/>
  <c r="N37" i="29"/>
  <c r="N45" i="29"/>
  <c r="M25" i="13" s="1"/>
  <c r="N15" i="29"/>
  <c r="N25" i="29"/>
  <c r="N33" i="29"/>
  <c r="N42" i="29"/>
  <c r="N13" i="29"/>
  <c r="N16" i="29"/>
  <c r="H27" i="30"/>
  <c r="V27" i="30" s="1"/>
  <c r="F47" i="29"/>
  <c r="G23" i="31"/>
  <c r="H23" i="31"/>
  <c r="F13" i="31"/>
  <c r="D10" i="41"/>
  <c r="D15" i="41" s="1"/>
  <c r="D32" i="41" s="1"/>
  <c r="D36" i="41" s="1"/>
  <c r="F6" i="41"/>
  <c r="F10" i="41" s="1"/>
  <c r="F15" i="41" s="1"/>
  <c r="F36" i="30"/>
  <c r="U36" i="30" s="1"/>
  <c r="D13" i="31"/>
  <c r="J14" i="27"/>
  <c r="J24" i="27" s="1"/>
  <c r="J38" i="27" s="1"/>
  <c r="J47" i="27" s="1"/>
  <c r="J57" i="27" s="1"/>
  <c r="J65" i="27" s="1"/>
  <c r="J89" i="27"/>
  <c r="J105" i="27" s="1"/>
  <c r="M158" i="13"/>
  <c r="M42" i="13"/>
  <c r="H3" i="31"/>
  <c r="H10" i="31" s="1"/>
  <c r="M100" i="13" s="1"/>
  <c r="M118" i="13"/>
  <c r="M98" i="13"/>
  <c r="M61" i="13"/>
  <c r="M138" i="13"/>
  <c r="C34" i="30"/>
  <c r="E89" i="42"/>
  <c r="E105" i="42" s="1"/>
  <c r="E14" i="42"/>
  <c r="E24" i="42" s="1"/>
  <c r="E38" i="42" s="1"/>
  <c r="E47" i="42" s="1"/>
  <c r="E57" i="42" s="1"/>
  <c r="E65" i="42" s="1"/>
  <c r="K17" i="17"/>
  <c r="J18" i="17"/>
  <c r="E27" i="30"/>
  <c r="S27" i="30" s="1"/>
  <c r="H25" i="17"/>
  <c r="D6" i="29"/>
  <c r="R6" i="30" s="1"/>
  <c r="S8" i="30" s="1"/>
  <c r="A97" i="14"/>
  <c r="G3" i="31"/>
  <c r="L98" i="13"/>
  <c r="L61" i="13"/>
  <c r="L42" i="13"/>
  <c r="L158" i="13"/>
  <c r="L118" i="13"/>
  <c r="L138" i="13"/>
  <c r="L16" i="17"/>
  <c r="M16" i="17" s="1"/>
  <c r="N16" i="17" s="1"/>
  <c r="E47" i="29"/>
  <c r="I34" i="31"/>
  <c r="N80" i="13"/>
  <c r="N84" i="13" s="1"/>
  <c r="F23" i="31"/>
  <c r="D47" i="29"/>
  <c r="E13" i="31"/>
  <c r="C47" i="29"/>
  <c r="H14" i="27"/>
  <c r="H24" i="27" s="1"/>
  <c r="H38" i="27" s="1"/>
  <c r="H47" i="27" s="1"/>
  <c r="H57" i="27" s="1"/>
  <c r="H65" i="27" s="1"/>
  <c r="H89" i="27"/>
  <c r="H105" i="27" s="1"/>
  <c r="D23" i="31"/>
  <c r="G47" i="29"/>
  <c r="H13" i="31"/>
  <c r="K4" i="13"/>
  <c r="K8" i="13"/>
  <c r="D6" i="42"/>
  <c r="E6" i="30"/>
  <c r="K79" i="13"/>
  <c r="F4" i="31"/>
  <c r="K24" i="13"/>
  <c r="F6" i="27"/>
  <c r="L27" i="13" l="1"/>
  <c r="O27" i="30"/>
  <c r="M36" i="30"/>
  <c r="L26" i="13"/>
  <c r="M11" i="13"/>
  <c r="K27" i="13"/>
  <c r="K11" i="13"/>
  <c r="I11" i="13"/>
  <c r="J11" i="13"/>
  <c r="N11" i="13"/>
  <c r="M26" i="13"/>
  <c r="N26" i="13"/>
  <c r="N27" i="13"/>
  <c r="J26" i="13"/>
  <c r="I26" i="13"/>
  <c r="I27" i="13"/>
  <c r="M27" i="13"/>
  <c r="J27" i="13"/>
  <c r="L9" i="30"/>
  <c r="L18" i="30"/>
  <c r="L27" i="30"/>
  <c r="L11" i="30"/>
  <c r="L22" i="30"/>
  <c r="L24" i="30"/>
  <c r="L19" i="30"/>
  <c r="L29" i="30"/>
  <c r="L12" i="30"/>
  <c r="L23" i="30"/>
  <c r="L16" i="30"/>
  <c r="L25" i="30"/>
  <c r="L8" i="30"/>
  <c r="L17" i="30"/>
  <c r="L26" i="30"/>
  <c r="L35" i="30"/>
  <c r="L20" i="30"/>
  <c r="L14" i="30"/>
  <c r="L33" i="30"/>
  <c r="S9" i="30"/>
  <c r="S35" i="30"/>
  <c r="S12" i="30"/>
  <c r="K62" i="13" s="1"/>
  <c r="S33" i="30"/>
  <c r="R19" i="30"/>
  <c r="R29" i="30"/>
  <c r="R16" i="30"/>
  <c r="R25" i="30"/>
  <c r="R34" i="30"/>
  <c r="R12" i="30"/>
  <c r="J62" i="13" s="1"/>
  <c r="R33" i="30"/>
  <c r="S25" i="30"/>
  <c r="S26" i="30"/>
  <c r="K64" i="13" s="1"/>
  <c r="D4" i="41"/>
  <c r="K6" i="29"/>
  <c r="K6" i="30" s="1"/>
  <c r="R6" i="29"/>
  <c r="H34" i="30"/>
  <c r="F32" i="41"/>
  <c r="F36" i="41" s="1"/>
  <c r="H8" i="31"/>
  <c r="H50" i="31"/>
  <c r="H30" i="31"/>
  <c r="M82" i="13" s="1"/>
  <c r="H15" i="31"/>
  <c r="H32" i="31"/>
  <c r="M83" i="13" s="1"/>
  <c r="H26" i="31"/>
  <c r="H28" i="31"/>
  <c r="M81" i="13" s="1"/>
  <c r="P16" i="17"/>
  <c r="Q16" i="17" s="1"/>
  <c r="B16" i="17" s="1"/>
  <c r="O16" i="17"/>
  <c r="F14" i="27"/>
  <c r="F24" i="27" s="1"/>
  <c r="F38" i="27" s="1"/>
  <c r="F47" i="27" s="1"/>
  <c r="F57" i="27" s="1"/>
  <c r="F65" i="27" s="1"/>
  <c r="F89" i="27"/>
  <c r="J19" i="17"/>
  <c r="K18" i="17"/>
  <c r="K138" i="13"/>
  <c r="K158" i="13"/>
  <c r="F3" i="31"/>
  <c r="K98" i="13"/>
  <c r="K61" i="13"/>
  <c r="K118" i="13"/>
  <c r="K42" i="13"/>
  <c r="D89" i="42"/>
  <c r="D14" i="42"/>
  <c r="D24" i="42" s="1"/>
  <c r="D38" i="42" s="1"/>
  <c r="D47" i="42" s="1"/>
  <c r="D57" i="42" s="1"/>
  <c r="D65" i="42" s="1"/>
  <c r="E34" i="30"/>
  <c r="H26" i="17"/>
  <c r="G15" i="31"/>
  <c r="G50" i="31"/>
  <c r="G32" i="31"/>
  <c r="L83" i="13" s="1"/>
  <c r="G28" i="31"/>
  <c r="L81" i="13" s="1"/>
  <c r="G26" i="31"/>
  <c r="G30" i="31"/>
  <c r="L82" i="13" s="1"/>
  <c r="G10" i="31"/>
  <c r="L100" i="13" s="1"/>
  <c r="G8" i="31"/>
  <c r="J8" i="13"/>
  <c r="C6" i="42"/>
  <c r="D6" i="30"/>
  <c r="J79" i="13"/>
  <c r="D6" i="27"/>
  <c r="J24" i="13"/>
  <c r="E4" i="31"/>
  <c r="J4" i="13"/>
  <c r="L17" i="17"/>
  <c r="M17" i="17" s="1"/>
  <c r="N17" i="17" s="1"/>
  <c r="C6" i="29"/>
  <c r="Q6" i="30" s="1"/>
  <c r="R8" i="30" s="1"/>
  <c r="C36" i="30"/>
  <c r="R36" i="30" s="1"/>
  <c r="T34" i="30" l="1"/>
  <c r="S34" i="30"/>
  <c r="V34" i="30"/>
  <c r="O34" i="30"/>
  <c r="L34" i="30"/>
  <c r="R20" i="30"/>
  <c r="R24" i="30"/>
  <c r="R27" i="30"/>
  <c r="R35" i="30"/>
  <c r="R23" i="30"/>
  <c r="R18" i="30"/>
  <c r="K17" i="30"/>
  <c r="K26" i="30"/>
  <c r="K35" i="30"/>
  <c r="K20" i="30"/>
  <c r="K14" i="30"/>
  <c r="K9" i="30"/>
  <c r="K18" i="30"/>
  <c r="K27" i="30"/>
  <c r="K36" i="30"/>
  <c r="K11" i="30"/>
  <c r="K22" i="30"/>
  <c r="K23" i="30"/>
  <c r="K24" i="30"/>
  <c r="K33" i="30"/>
  <c r="K16" i="30"/>
  <c r="K25" i="30"/>
  <c r="K34" i="30"/>
  <c r="K19" i="30"/>
  <c r="K29" i="30"/>
  <c r="K8" i="30"/>
  <c r="K12" i="30"/>
  <c r="R26" i="30"/>
  <c r="J64" i="13" s="1"/>
  <c r="R14" i="30"/>
  <c r="R9" i="30"/>
  <c r="R17" i="30"/>
  <c r="J63" i="13" s="1"/>
  <c r="R22" i="30"/>
  <c r="R11" i="30"/>
  <c r="J6" i="29"/>
  <c r="J6" i="30" s="1"/>
  <c r="Q6" i="29"/>
  <c r="H6" i="41"/>
  <c r="H10" i="41" s="1"/>
  <c r="H15" i="41" s="1"/>
  <c r="H32" i="41" s="1"/>
  <c r="H36" i="41" s="1"/>
  <c r="H36" i="30"/>
  <c r="E6" i="41"/>
  <c r="E10" i="41" s="1"/>
  <c r="E15" i="41" s="1"/>
  <c r="M80" i="13"/>
  <c r="M84" i="13" s="1"/>
  <c r="H34" i="31"/>
  <c r="A16" i="17"/>
  <c r="D16" i="17"/>
  <c r="I16" i="17"/>
  <c r="O17" i="17"/>
  <c r="P17" i="17"/>
  <c r="Q17" i="17" s="1"/>
  <c r="B17" i="17" s="1"/>
  <c r="H27" i="17"/>
  <c r="L18" i="17"/>
  <c r="M18" i="17" s="1"/>
  <c r="N18" i="17" s="1"/>
  <c r="L80" i="13"/>
  <c r="L84" i="13" s="1"/>
  <c r="G34" i="31"/>
  <c r="J20" i="17"/>
  <c r="K19" i="17"/>
  <c r="B6" i="27"/>
  <c r="I8" i="13"/>
  <c r="I24" i="13"/>
  <c r="I4" i="13"/>
  <c r="C6" i="30"/>
  <c r="B6" i="42"/>
  <c r="I79" i="13"/>
  <c r="D4" i="31"/>
  <c r="J98" i="13"/>
  <c r="J118" i="13"/>
  <c r="J158" i="13"/>
  <c r="J42" i="13"/>
  <c r="J138" i="13"/>
  <c r="E3" i="31"/>
  <c r="J61" i="13"/>
  <c r="C89" i="42"/>
  <c r="C14" i="42"/>
  <c r="C24" i="42" s="1"/>
  <c r="C38" i="42" s="1"/>
  <c r="C47" i="42" s="1"/>
  <c r="C57" i="42" s="1"/>
  <c r="C65" i="42" s="1"/>
  <c r="E36" i="30"/>
  <c r="A202" i="27"/>
  <c r="F105" i="27"/>
  <c r="D14" i="27"/>
  <c r="D24" i="27" s="1"/>
  <c r="D38" i="27" s="1"/>
  <c r="D47" i="27" s="1"/>
  <c r="D57" i="27" s="1"/>
  <c r="D65" i="27" s="1"/>
  <c r="D89" i="27"/>
  <c r="F26" i="31"/>
  <c r="F30" i="31"/>
  <c r="K82" i="13" s="1"/>
  <c r="F32" i="31"/>
  <c r="K83" i="13" s="1"/>
  <c r="F15" i="31"/>
  <c r="F28" i="31"/>
  <c r="K81" i="13" s="1"/>
  <c r="F50" i="31"/>
  <c r="D105" i="42"/>
  <c r="A192" i="42"/>
  <c r="T36" i="30" l="1"/>
  <c r="L36" i="30"/>
  <c r="S36" i="30"/>
  <c r="V36" i="30"/>
  <c r="O36" i="30"/>
  <c r="I8" i="31"/>
  <c r="I10" i="31"/>
  <c r="N100" i="13" s="1"/>
  <c r="E32" i="41"/>
  <c r="E36" i="41" s="1"/>
  <c r="I17" i="17"/>
  <c r="A17" i="17"/>
  <c r="D17" i="17"/>
  <c r="E17" i="17" s="1"/>
  <c r="G17" i="17" s="1"/>
  <c r="O18" i="17"/>
  <c r="P18" i="17"/>
  <c r="Q18" i="17" s="1"/>
  <c r="B18" i="17" s="1"/>
  <c r="I158" i="13"/>
  <c r="D3" i="31"/>
  <c r="I42" i="13"/>
  <c r="I61" i="13"/>
  <c r="I118" i="13"/>
  <c r="I138" i="13"/>
  <c r="I98" i="13"/>
  <c r="B89" i="27"/>
  <c r="B14" i="27"/>
  <c r="B24" i="27" s="1"/>
  <c r="B38" i="27" s="1"/>
  <c r="B47" i="27" s="1"/>
  <c r="B57" i="27" s="1"/>
  <c r="B65" i="27" s="1"/>
  <c r="A201" i="27"/>
  <c r="D105" i="27"/>
  <c r="K80" i="13"/>
  <c r="K84" i="13" s="1"/>
  <c r="F34" i="31"/>
  <c r="B14" i="42"/>
  <c r="B24" i="42" s="1"/>
  <c r="B38" i="42" s="1"/>
  <c r="B47" i="42" s="1"/>
  <c r="B57" i="42" s="1"/>
  <c r="B65" i="42" s="1"/>
  <c r="B89" i="42"/>
  <c r="J21" i="17"/>
  <c r="K20" i="17"/>
  <c r="H28" i="17"/>
  <c r="C105" i="42"/>
  <c r="A191" i="42"/>
  <c r="E26" i="31"/>
  <c r="E8" i="31"/>
  <c r="E15" i="31"/>
  <c r="E32" i="31"/>
  <c r="J83" i="13" s="1"/>
  <c r="E30" i="31"/>
  <c r="J82" i="13" s="1"/>
  <c r="E10" i="31"/>
  <c r="J100" i="13" s="1"/>
  <c r="E50" i="31"/>
  <c r="E28" i="31"/>
  <c r="J81" i="13" s="1"/>
  <c r="L19" i="17"/>
  <c r="M19" i="17" s="1"/>
  <c r="N19" i="17" s="1"/>
  <c r="F10" i="31"/>
  <c r="K100" i="13" s="1"/>
  <c r="F8" i="31"/>
  <c r="E16" i="17"/>
  <c r="P19" i="17" l="1"/>
  <c r="Q19" i="17" s="1"/>
  <c r="B19" i="17" s="1"/>
  <c r="O19" i="17"/>
  <c r="K21" i="17"/>
  <c r="J22" i="17"/>
  <c r="B105" i="27"/>
  <c r="A200" i="27"/>
  <c r="H29" i="17"/>
  <c r="L20" i="17"/>
  <c r="M20" i="17" s="1"/>
  <c r="N20" i="17" s="1"/>
  <c r="J80" i="13"/>
  <c r="J84" i="13" s="1"/>
  <c r="E34" i="31"/>
  <c r="A18" i="17"/>
  <c r="I18" i="17"/>
  <c r="G16" i="17"/>
  <c r="D18" i="17"/>
  <c r="A190" i="42"/>
  <c r="B105" i="42"/>
  <c r="D30" i="31"/>
  <c r="I82" i="13" s="1"/>
  <c r="D15" i="31"/>
  <c r="D28" i="31"/>
  <c r="I81" i="13" s="1"/>
  <c r="D50" i="31"/>
  <c r="D26" i="31"/>
  <c r="D32" i="31"/>
  <c r="I83" i="13" s="1"/>
  <c r="D10" i="31"/>
  <c r="I100" i="13" s="1"/>
  <c r="D8" i="31"/>
  <c r="P20" i="17" l="1"/>
  <c r="Q20" i="17" s="1"/>
  <c r="B20" i="17" s="1"/>
  <c r="O20" i="17"/>
  <c r="I19" i="17"/>
  <c r="A19" i="17"/>
  <c r="D19" i="17"/>
  <c r="E19" i="17" s="1"/>
  <c r="G19" i="17" s="1"/>
  <c r="H30" i="17"/>
  <c r="J23" i="17"/>
  <c r="K22" i="17"/>
  <c r="L21" i="17"/>
  <c r="M21" i="17" s="1"/>
  <c r="N21" i="17" s="1"/>
  <c r="I80" i="13"/>
  <c r="I84" i="13" s="1"/>
  <c r="D34" i="31"/>
  <c r="E18" i="17"/>
  <c r="O21" i="17" l="1"/>
  <c r="P21" i="17"/>
  <c r="Q21" i="17" s="1"/>
  <c r="B21" i="17" s="1"/>
  <c r="A20" i="17"/>
  <c r="I20" i="17"/>
  <c r="D20" i="17"/>
  <c r="H31" i="17"/>
  <c r="L22" i="17"/>
  <c r="M22" i="17" s="1"/>
  <c r="N22" i="17" s="1"/>
  <c r="G18" i="17"/>
  <c r="K23" i="17"/>
  <c r="J24" i="17"/>
  <c r="P22" i="17" l="1"/>
  <c r="Q22" i="17" s="1"/>
  <c r="B22" i="17" s="1"/>
  <c r="O22" i="17"/>
  <c r="A21" i="17"/>
  <c r="I21" i="17"/>
  <c r="D21" i="17"/>
  <c r="E21" i="17" s="1"/>
  <c r="G21" i="17" s="1"/>
  <c r="J25" i="17"/>
  <c r="K24" i="17"/>
  <c r="E20" i="17"/>
  <c r="L23" i="17"/>
  <c r="M23" i="17" s="1"/>
  <c r="N23" i="17" s="1"/>
  <c r="H32" i="17"/>
  <c r="P23" i="17" l="1"/>
  <c r="Q23" i="17" s="1"/>
  <c r="B23" i="17" s="1"/>
  <c r="O23" i="17"/>
  <c r="A22" i="17"/>
  <c r="I22" i="17"/>
  <c r="D22" i="17"/>
  <c r="L24" i="17"/>
  <c r="M24" i="17" s="1"/>
  <c r="N24" i="17" s="1"/>
  <c r="J26" i="17"/>
  <c r="K25" i="17"/>
  <c r="G20" i="17"/>
  <c r="H33" i="17"/>
  <c r="P24" i="17" l="1"/>
  <c r="Q24" i="17" s="1"/>
  <c r="B24" i="17" s="1"/>
  <c r="O24" i="17"/>
  <c r="A23" i="17"/>
  <c r="I23" i="17"/>
  <c r="D23" i="17"/>
  <c r="E23" i="17" s="1"/>
  <c r="G23" i="17" s="1"/>
  <c r="E22" i="17"/>
  <c r="K26" i="17"/>
  <c r="J27" i="17"/>
  <c r="H34" i="17"/>
  <c r="L25" i="17"/>
  <c r="M25" i="17" s="1"/>
  <c r="N25" i="17" s="1"/>
  <c r="P25" i="17" l="1"/>
  <c r="Q25" i="17" s="1"/>
  <c r="B25" i="17" s="1"/>
  <c r="O25" i="17"/>
  <c r="A24" i="17"/>
  <c r="I24" i="17"/>
  <c r="D24" i="17"/>
  <c r="G22" i="17"/>
  <c r="H35" i="17"/>
  <c r="K27" i="17"/>
  <c r="J28" i="17"/>
  <c r="L26" i="17"/>
  <c r="M26" i="17" s="1"/>
  <c r="N26" i="17" s="1"/>
  <c r="P26" i="17" l="1"/>
  <c r="Q26" i="17" s="1"/>
  <c r="B26" i="17" s="1"/>
  <c r="O26" i="17"/>
  <c r="I25" i="17"/>
  <c r="A25" i="17"/>
  <c r="D25" i="17"/>
  <c r="E25" i="17" s="1"/>
  <c r="G25" i="17" s="1"/>
  <c r="E24" i="17"/>
  <c r="J29" i="17"/>
  <c r="K28" i="17"/>
  <c r="L27" i="17"/>
  <c r="M27" i="17" s="1"/>
  <c r="N27" i="17" s="1"/>
  <c r="H36" i="17"/>
  <c r="O27" i="17" l="1"/>
  <c r="P27" i="17"/>
  <c r="Q27" i="17" s="1"/>
  <c r="B27" i="17" s="1"/>
  <c r="A26" i="17"/>
  <c r="I26" i="17"/>
  <c r="D26" i="17"/>
  <c r="E26" i="17" s="1"/>
  <c r="G26" i="17" s="1"/>
  <c r="H37" i="17"/>
  <c r="G24" i="17"/>
  <c r="L28" i="17"/>
  <c r="M28" i="17" s="1"/>
  <c r="N28" i="17" s="1"/>
  <c r="J30" i="17"/>
  <c r="K29" i="17"/>
  <c r="P28" i="17" l="1"/>
  <c r="Q28" i="17" s="1"/>
  <c r="B28" i="17" s="1"/>
  <c r="O28" i="17"/>
  <c r="I27" i="17"/>
  <c r="A27" i="17"/>
  <c r="D27" i="17"/>
  <c r="E27" i="17" s="1"/>
  <c r="G27" i="17" s="1"/>
  <c r="L29" i="17"/>
  <c r="M29" i="17" s="1"/>
  <c r="N29" i="17" s="1"/>
  <c r="H38" i="17"/>
  <c r="J31" i="17"/>
  <c r="K30" i="17"/>
  <c r="P29" i="17" l="1"/>
  <c r="Q29" i="17" s="1"/>
  <c r="B29" i="17" s="1"/>
  <c r="O29" i="17"/>
  <c r="A28" i="17"/>
  <c r="I28" i="17"/>
  <c r="D28" i="17"/>
  <c r="E28" i="17" s="1"/>
  <c r="G28" i="17" s="1"/>
  <c r="L30" i="17"/>
  <c r="M30" i="17" s="1"/>
  <c r="N30" i="17" s="1"/>
  <c r="K31" i="17"/>
  <c r="J32" i="17"/>
  <c r="H39" i="17"/>
  <c r="O30" i="17" l="1"/>
  <c r="P30" i="17"/>
  <c r="Q30" i="17" s="1"/>
  <c r="B30" i="17" s="1"/>
  <c r="I29" i="17"/>
  <c r="A29" i="17"/>
  <c r="D29" i="17"/>
  <c r="E29" i="17" s="1"/>
  <c r="G29" i="17" s="1"/>
  <c r="H40" i="17"/>
  <c r="K32" i="17"/>
  <c r="J33" i="17"/>
  <c r="L31" i="17"/>
  <c r="M31" i="17" s="1"/>
  <c r="N31" i="17" s="1"/>
  <c r="A30" i="17" l="1"/>
  <c r="I30" i="17"/>
  <c r="D30" i="17"/>
  <c r="E30" i="17" s="1"/>
  <c r="G30" i="17" s="1"/>
  <c r="P31" i="17"/>
  <c r="Q31" i="17" s="1"/>
  <c r="B31" i="17" s="1"/>
  <c r="O31" i="17"/>
  <c r="J34" i="17"/>
  <c r="K33" i="17"/>
  <c r="L32" i="17"/>
  <c r="M32" i="17" s="1"/>
  <c r="N32" i="17" s="1"/>
  <c r="H41" i="17"/>
  <c r="P32" i="17" l="1"/>
  <c r="Q32" i="17" s="1"/>
  <c r="B32" i="17" s="1"/>
  <c r="O32" i="17"/>
  <c r="I31" i="17"/>
  <c r="A31" i="17"/>
  <c r="D31" i="17"/>
  <c r="E31" i="17" s="1"/>
  <c r="G31" i="17" s="1"/>
  <c r="J35" i="17"/>
  <c r="K34" i="17"/>
  <c r="H42" i="17"/>
  <c r="L33" i="17"/>
  <c r="M33" i="17" s="1"/>
  <c r="N33" i="17" s="1"/>
  <c r="O33" i="17" l="1"/>
  <c r="P33" i="17"/>
  <c r="Q33" i="17" s="1"/>
  <c r="B33" i="17" s="1"/>
  <c r="I32" i="17"/>
  <c r="A32" i="17"/>
  <c r="D32" i="17"/>
  <c r="E32" i="17" s="1"/>
  <c r="G32" i="17" s="1"/>
  <c r="J36" i="17"/>
  <c r="K35" i="17"/>
  <c r="H43" i="17"/>
  <c r="L34" i="17"/>
  <c r="M34" i="17" s="1"/>
  <c r="N34" i="17" s="1"/>
  <c r="A33" i="17" l="1"/>
  <c r="I33" i="17"/>
  <c r="D33" i="17"/>
  <c r="E33" i="17" s="1"/>
  <c r="G33" i="17" s="1"/>
  <c r="P34" i="17"/>
  <c r="Q34" i="17" s="1"/>
  <c r="B34" i="17" s="1"/>
  <c r="O34" i="17"/>
  <c r="J37" i="17"/>
  <c r="K36" i="17"/>
  <c r="H44" i="17"/>
  <c r="L35" i="17"/>
  <c r="M35" i="17" s="1"/>
  <c r="N35" i="17" s="1"/>
  <c r="I34" i="17" l="1"/>
  <c r="A34" i="17"/>
  <c r="D34" i="17"/>
  <c r="E34" i="17" s="1"/>
  <c r="G34" i="17" s="1"/>
  <c r="P35" i="17"/>
  <c r="Q35" i="17" s="1"/>
  <c r="B35" i="17" s="1"/>
  <c r="O35" i="17"/>
  <c r="H45" i="17"/>
  <c r="J38" i="17"/>
  <c r="K37" i="17"/>
  <c r="L36" i="17"/>
  <c r="M36" i="17" s="1"/>
  <c r="N36" i="17" s="1"/>
  <c r="A35" i="17" l="1"/>
  <c r="I35" i="17"/>
  <c r="D35" i="17"/>
  <c r="E35" i="17" s="1"/>
  <c r="G35" i="17" s="1"/>
  <c r="P36" i="17"/>
  <c r="Q36" i="17" s="1"/>
  <c r="B36" i="17" s="1"/>
  <c r="O36" i="17"/>
  <c r="L37" i="17"/>
  <c r="M37" i="17" s="1"/>
  <c r="N37" i="17" s="1"/>
  <c r="J39" i="17"/>
  <c r="K38" i="17"/>
  <c r="H46" i="17"/>
  <c r="O37" i="17" l="1"/>
  <c r="P37" i="17"/>
  <c r="Q37" i="17" s="1"/>
  <c r="B37" i="17" s="1"/>
  <c r="A36" i="17"/>
  <c r="I36" i="17"/>
  <c r="D36" i="17"/>
  <c r="E36" i="17" s="1"/>
  <c r="G36" i="17" s="1"/>
  <c r="H47" i="17"/>
  <c r="L38" i="17"/>
  <c r="M38" i="17" s="1"/>
  <c r="N38" i="17" s="1"/>
  <c r="K39" i="17"/>
  <c r="J40" i="17"/>
  <c r="P38" i="17" l="1"/>
  <c r="Q38" i="17" s="1"/>
  <c r="B38" i="17" s="1"/>
  <c r="O38" i="17"/>
  <c r="I37" i="17"/>
  <c r="A37" i="17"/>
  <c r="D37" i="17"/>
  <c r="E37" i="17" s="1"/>
  <c r="G37" i="17" s="1"/>
  <c r="K40" i="17"/>
  <c r="J41" i="17"/>
  <c r="L39" i="17"/>
  <c r="M39" i="17" s="1"/>
  <c r="N39" i="17" s="1"/>
  <c r="H48" i="17"/>
  <c r="P39" i="17" l="1"/>
  <c r="Q39" i="17" s="1"/>
  <c r="B39" i="17" s="1"/>
  <c r="O39" i="17"/>
  <c r="A38" i="17"/>
  <c r="I38" i="17"/>
  <c r="D38" i="17"/>
  <c r="E38" i="17" s="1"/>
  <c r="G38" i="17" s="1"/>
  <c r="L40" i="17"/>
  <c r="M40" i="17" s="1"/>
  <c r="N40" i="17" s="1"/>
  <c r="H49" i="17"/>
  <c r="K41" i="17"/>
  <c r="J42" i="17"/>
  <c r="O40" i="17" l="1"/>
  <c r="P40" i="17"/>
  <c r="Q40" i="17" s="1"/>
  <c r="B40" i="17" s="1"/>
  <c r="A39" i="17"/>
  <c r="I39" i="17"/>
  <c r="D39" i="17"/>
  <c r="E39" i="17" s="1"/>
  <c r="G39" i="17" s="1"/>
  <c r="J43" i="17"/>
  <c r="K42" i="17"/>
  <c r="L41" i="17"/>
  <c r="M41" i="17" s="1"/>
  <c r="N41" i="17" s="1"/>
  <c r="H50" i="17"/>
  <c r="P41" i="17" l="1"/>
  <c r="Q41" i="17" s="1"/>
  <c r="B41" i="17" s="1"/>
  <c r="O41" i="17"/>
  <c r="I40" i="17"/>
  <c r="A40" i="17"/>
  <c r="D40" i="17"/>
  <c r="E40" i="17" s="1"/>
  <c r="G40" i="17" s="1"/>
  <c r="K43" i="17"/>
  <c r="J44" i="17"/>
  <c r="H51" i="17"/>
  <c r="L42" i="17"/>
  <c r="M42" i="17" s="1"/>
  <c r="N42" i="17" s="1"/>
  <c r="P42" i="17" l="1"/>
  <c r="Q42" i="17" s="1"/>
  <c r="B42" i="17" s="1"/>
  <c r="O42" i="17"/>
  <c r="A41" i="17"/>
  <c r="I41" i="17"/>
  <c r="D41" i="17"/>
  <c r="E41" i="17" s="1"/>
  <c r="G41" i="17" s="1"/>
  <c r="L43" i="17"/>
  <c r="M43" i="17" s="1"/>
  <c r="N43" i="17" s="1"/>
  <c r="K44" i="17"/>
  <c r="J45" i="17"/>
  <c r="H52" i="17"/>
  <c r="P43" i="17" l="1"/>
  <c r="Q43" i="17" s="1"/>
  <c r="B43" i="17" s="1"/>
  <c r="O43" i="17"/>
  <c r="A42" i="17"/>
  <c r="I42" i="17"/>
  <c r="D42" i="17"/>
  <c r="E42" i="17" s="1"/>
  <c r="G42" i="17" s="1"/>
  <c r="J46" i="17"/>
  <c r="K45" i="17"/>
  <c r="L44" i="17"/>
  <c r="M44" i="17" s="1"/>
  <c r="N44" i="17" s="1"/>
  <c r="P44" i="17" l="1"/>
  <c r="Q44" i="17" s="1"/>
  <c r="B44" i="17" s="1"/>
  <c r="O44" i="17"/>
  <c r="A43" i="17"/>
  <c r="I43" i="17"/>
  <c r="D43" i="17"/>
  <c r="E43" i="17" s="1"/>
  <c r="G43" i="17" s="1"/>
  <c r="L45" i="17"/>
  <c r="M45" i="17" s="1"/>
  <c r="N45" i="17" s="1"/>
  <c r="K46" i="17"/>
  <c r="J47" i="17"/>
  <c r="O45" i="17" l="1"/>
  <c r="P45" i="17"/>
  <c r="Q45" i="17" s="1"/>
  <c r="B45" i="17" s="1"/>
  <c r="A44" i="17"/>
  <c r="I44" i="17"/>
  <c r="D44" i="17"/>
  <c r="E44" i="17" s="1"/>
  <c r="G44" i="17" s="1"/>
  <c r="K47" i="17"/>
  <c r="J48" i="17"/>
  <c r="L46" i="17"/>
  <c r="M46" i="17" s="1"/>
  <c r="N46" i="17" s="1"/>
  <c r="O46" i="17" l="1"/>
  <c r="P46" i="17"/>
  <c r="Q46" i="17" s="1"/>
  <c r="B46" i="17" s="1"/>
  <c r="A45" i="17"/>
  <c r="I45" i="17"/>
  <c r="D45" i="17"/>
  <c r="E45" i="17" s="1"/>
  <c r="G45" i="17" s="1"/>
  <c r="L47" i="17"/>
  <c r="M47" i="17" s="1"/>
  <c r="N47" i="17" s="1"/>
  <c r="J49" i="17"/>
  <c r="K48" i="17"/>
  <c r="P47" i="17" l="1"/>
  <c r="Q47" i="17" s="1"/>
  <c r="B47" i="17" s="1"/>
  <c r="O47" i="17"/>
  <c r="I46" i="17"/>
  <c r="A46" i="17"/>
  <c r="D46" i="17"/>
  <c r="E46" i="17" s="1"/>
  <c r="G46" i="17" s="1"/>
  <c r="L48" i="17"/>
  <c r="M48" i="17" s="1"/>
  <c r="N48" i="17" s="1"/>
  <c r="J50" i="17"/>
  <c r="K49" i="17"/>
  <c r="O48" i="17" l="1"/>
  <c r="P48" i="17"/>
  <c r="Q48" i="17" s="1"/>
  <c r="B48" i="17" s="1"/>
  <c r="A47" i="17"/>
  <c r="I47" i="17"/>
  <c r="D47" i="17"/>
  <c r="E47" i="17" s="1"/>
  <c r="G47" i="17" s="1"/>
  <c r="L49" i="17"/>
  <c r="M49" i="17" s="1"/>
  <c r="N49" i="17" s="1"/>
  <c r="J51" i="17"/>
  <c r="K50" i="17"/>
  <c r="O49" i="17" l="1"/>
  <c r="P49" i="17"/>
  <c r="Q49" i="17" s="1"/>
  <c r="B49" i="17" s="1"/>
  <c r="A48" i="17"/>
  <c r="I48" i="17"/>
  <c r="D48" i="17"/>
  <c r="E48" i="17" s="1"/>
  <c r="G48" i="17" s="1"/>
  <c r="L50" i="17"/>
  <c r="M50" i="17" s="1"/>
  <c r="N50" i="17" s="1"/>
  <c r="J52" i="17"/>
  <c r="K52" i="17" s="1"/>
  <c r="K51" i="17"/>
  <c r="O50" i="17" l="1"/>
  <c r="P50" i="17"/>
  <c r="Q50" i="17" s="1"/>
  <c r="B50" i="17" s="1"/>
  <c r="A49" i="17"/>
  <c r="I49" i="17"/>
  <c r="D49" i="17"/>
  <c r="E49" i="17" s="1"/>
  <c r="G49" i="17" s="1"/>
  <c r="L51" i="17"/>
  <c r="M51" i="17" s="1"/>
  <c r="N51" i="17" s="1"/>
  <c r="L52" i="17"/>
  <c r="M52" i="17" s="1"/>
  <c r="N52" i="17" s="1"/>
  <c r="O52" i="17" l="1"/>
  <c r="P52" i="17"/>
  <c r="Q52" i="17" s="1"/>
  <c r="B52" i="17" s="1"/>
  <c r="O51" i="17"/>
  <c r="P51" i="17"/>
  <c r="Q51" i="17" s="1"/>
  <c r="B51" i="17" s="1"/>
  <c r="A50" i="17"/>
  <c r="I50" i="17"/>
  <c r="D50" i="17"/>
  <c r="E50" i="17" s="1"/>
  <c r="G50" i="17" s="1"/>
  <c r="A51" i="17" l="1"/>
  <c r="I51" i="17"/>
  <c r="D52" i="17"/>
  <c r="D51" i="17"/>
  <c r="E51" i="17" s="1"/>
  <c r="G51" i="17" s="1"/>
  <c r="A52" i="17"/>
  <c r="I52" i="17"/>
  <c r="E52" i="17" l="1"/>
  <c r="D53" i="17"/>
  <c r="G52" i="17" l="1"/>
  <c r="E7" i="17" s="1"/>
  <c r="E53" i="17"/>
  <c r="E54" i="17" s="1"/>
</calcChain>
</file>

<file path=xl/comments1.xml><?xml version="1.0" encoding="utf-8"?>
<comments xmlns="http://schemas.openxmlformats.org/spreadsheetml/2006/main">
  <authors>
    <author>Urmat</author>
    <author>Urmat Sarpekov</author>
    <author>urmat</author>
  </authors>
  <commentList>
    <comment ref="A8" authorId="0">
      <text>
        <r>
          <rPr>
            <sz val="8"/>
            <color indexed="81"/>
            <rFont val="Tahoma"/>
            <family val="2"/>
            <charset val="204"/>
          </rPr>
          <t>Остатки денежных средств, имеющихся в кассе (в кассах филиалов, головного офиса и т.д.)</t>
        </r>
      </text>
    </comment>
    <comment ref="A9" authorId="1">
      <text>
        <r>
          <rPr>
            <sz val="9"/>
            <color indexed="81"/>
            <rFont val="Tahoma"/>
            <family val="2"/>
            <charset val="204"/>
          </rPr>
          <t xml:space="preserve">Остатки денежных средств, имеющихся на банковских расчетных счетах, счетах до восстребования.
</t>
        </r>
      </text>
    </comment>
    <comment ref="A10" authorId="0">
      <text>
        <r>
          <rPr>
            <sz val="8"/>
            <color indexed="81"/>
            <rFont val="Tahoma"/>
            <family val="2"/>
            <charset val="204"/>
          </rPr>
          <t>Средства, размещенные на депозитных счетах в финансовых учреждениях сроком менее одного года, которые приносят организации доход в виде процентов.</t>
        </r>
      </text>
    </comment>
    <comment ref="A11" authorId="2">
      <text>
        <r>
          <rPr>
            <sz val="8"/>
            <color indexed="81"/>
            <rFont val="Tahoma"/>
            <family val="2"/>
            <charset val="204"/>
          </rPr>
          <t>Кредитный портфель, остаток задолженности по кредитам, выданные заемщикам.</t>
        </r>
        <r>
          <rPr>
            <sz val="8"/>
            <color indexed="81"/>
            <rFont val="Tahoma"/>
            <family val="2"/>
            <charset val="204"/>
          </rPr>
          <t xml:space="preserve">
</t>
        </r>
      </text>
    </comment>
    <comment ref="A12" authorId="0">
      <text>
        <r>
          <rPr>
            <sz val="8"/>
            <color indexed="81"/>
            <rFont val="Tahoma"/>
            <family val="2"/>
            <charset val="204"/>
          </rPr>
          <t>Сумма, выделенная для покрытия будущих убытков по
займам. Когда резерв создается (или меняется), расход от убытка (носящий название изменения резерва, или провизии) отражается в отчете о прибылях и убытках. Сумма расхода от убытка затем отражается в балансовом отчете как отрицательный актив - резерв под убытки по займам, уменьшающий сумму портфеля займов.</t>
        </r>
      </text>
    </comment>
    <comment ref="A14" authorId="2">
      <text>
        <r>
          <rPr>
            <sz val="8"/>
            <color indexed="81"/>
            <rFont val="Tahoma"/>
            <family val="2"/>
            <charset val="204"/>
          </rPr>
          <t>Проценты к получению по «Валовому кредитному портфелю» за вычетом начисленных процентов, получение которых сомнительно.</t>
        </r>
      </text>
    </comment>
    <comment ref="A15" authorId="0">
      <text>
        <r>
          <rPr>
            <sz val="8"/>
            <color indexed="81"/>
            <rFont val="Tahoma"/>
            <family val="2"/>
            <charset val="204"/>
          </rPr>
          <t>То, что не включается в предыдущие статьи, например, другая дебиторская задолженность (по взносам и т.п.), а также предоплата (аренда, страхование и т.п.).</t>
        </r>
      </text>
    </comment>
    <comment ref="A17" authorId="0">
      <text>
        <r>
          <rPr>
            <sz val="8"/>
            <color indexed="81"/>
            <rFont val="Tahoma"/>
            <family val="2"/>
            <charset val="204"/>
          </rPr>
          <t>Инвестиции, которые невозможно быстро превратить в денежные средства, такие, как акции, облигации и векселя, срок погашения которых составляет свыше
одного года.</t>
        </r>
      </text>
    </comment>
    <comment ref="A18" authorId="0">
      <text>
        <r>
          <rPr>
            <sz val="8"/>
            <color indexed="81"/>
            <rFont val="Tahoma"/>
            <family val="2"/>
            <charset val="204"/>
          </rPr>
          <t>Имущество и оборудование (основные средства),
отраженные по стоимости их приобретения.</t>
        </r>
      </text>
    </comment>
    <comment ref="A19" authorId="0">
      <text>
        <r>
          <rPr>
            <sz val="8"/>
            <color indexed="81"/>
            <rFont val="Tahoma"/>
            <family val="2"/>
            <charset val="204"/>
          </rPr>
          <t xml:space="preserve">Представляет собой сумму амортизационных отчислений за текущий и предыдущий отчетные периоды. </t>
        </r>
      </text>
    </comment>
    <comment ref="A20" authorId="0">
      <text>
        <r>
          <rPr>
            <sz val="8"/>
            <color indexed="81"/>
            <rFont val="Tahoma"/>
            <family val="2"/>
            <charset val="204"/>
          </rPr>
          <t>Покупная стоимость или отраженная рыночная стоимость
имущества и оборудования за вычетом накопленного износа.</t>
        </r>
      </text>
    </comment>
    <comment ref="A25" authorId="0">
      <text>
        <r>
          <rPr>
            <sz val="8"/>
            <color indexed="81"/>
            <rFont val="Tahoma"/>
            <family val="2"/>
            <charset val="204"/>
          </rPr>
          <t>Депозиты, привлеченные от населения или членов, которые МФО обязана выплатить по востребованию. Это включает любой текущий или сберегательный счет, который подлежит оплате по востребованию.</t>
        </r>
      </text>
    </comment>
    <comment ref="A26" authorId="0">
      <text>
        <r>
          <rPr>
            <sz val="8"/>
            <color indexed="81"/>
            <rFont val="Tahoma"/>
            <family val="2"/>
            <charset val="204"/>
          </rPr>
          <t xml:space="preserve">Депозиты, привлеченные от населения или членов, которые МФО обязана выплатить в установленный день в течение 12 месяцев после даты внесения. Этот счет включает депозитные сертификаты или срочные депозиты. Он также
включает обязательные депозитные счета, которые держатся МФО как условие для текущего или будущего займа или таких других услуг, как счетов залоговой
наличности или гарантированных депозитов.
</t>
        </r>
      </text>
    </comment>
    <comment ref="A27" authorId="0">
      <text>
        <r>
          <rPr>
            <sz val="8"/>
            <color indexed="81"/>
            <rFont val="Tahoma"/>
            <family val="2"/>
            <charset val="204"/>
          </rPr>
          <t>Основная сумма, подлежащая к выплате в срок до 12 месяцев с даты внесения по всем средствам, полученным по кредиту или другим контрактным долговым соглашениям. Это включает в себя непогашенные остатки по займам, кредитным линиям и овердрафтам, а так же часть долгосрочных обязательств, подлежащих оплате в течение 12 месяцев.</t>
        </r>
      </text>
    </comment>
    <comment ref="A28" authorId="2">
      <text>
        <r>
          <rPr>
            <sz val="8"/>
            <color indexed="81"/>
            <rFont val="Tahoma"/>
            <family val="2"/>
            <charset val="204"/>
          </rPr>
          <t>Начисленный процент по счетам обязательств, которые финансируют
финансовые операции, такие как внешние займы, депозиты и т.д.</t>
        </r>
        <r>
          <rPr>
            <sz val="8"/>
            <color indexed="81"/>
            <rFont val="Tahoma"/>
            <family val="2"/>
            <charset val="204"/>
          </rPr>
          <t xml:space="preserve">
</t>
        </r>
      </text>
    </comment>
    <comment ref="A29" authorId="0">
      <text>
        <r>
          <rPr>
            <sz val="8"/>
            <color indexed="81"/>
            <rFont val="Tahoma"/>
            <family val="2"/>
            <charset val="204"/>
          </rPr>
          <t>Прочие краткосрочные обязательства, подлежащие выплате в течение 12 месяцев, включая обязательства по налогам и заработной плате, удержания с заработной платы и прочие счета к оплате. Следует также включить любую краткосрочную часть отсроченного дохода.</t>
        </r>
      </text>
    </comment>
    <comment ref="A31" authorId="0">
      <text>
        <r>
          <rPr>
            <sz val="8"/>
            <color indexed="81"/>
            <rFont val="Tahoma"/>
            <family val="2"/>
            <charset val="204"/>
          </rPr>
          <t>Депозиты, привлеченные от населения или членов, которые МФО обязана выплатить в установленный срок погашения, больше чем 12 месяцев с даты внесения.</t>
        </r>
      </text>
    </comment>
    <comment ref="A32" authorId="2">
      <text>
        <r>
          <rPr>
            <sz val="8"/>
            <color indexed="81"/>
            <rFont val="Tahoma"/>
            <family val="2"/>
            <charset val="204"/>
          </rPr>
          <t>Основная сумма к выплате через более чем 12 месяцев для всех фондов, полученных по займам или другим контрактным соглашениям и все
субординированные кредиты.</t>
        </r>
        <r>
          <rPr>
            <sz val="8"/>
            <color indexed="81"/>
            <rFont val="Tahoma"/>
            <family val="2"/>
            <charset val="204"/>
          </rPr>
          <t xml:space="preserve">
</t>
        </r>
      </text>
    </comment>
    <comment ref="A33" authorId="0">
      <text>
        <r>
          <rPr>
            <sz val="8"/>
            <color indexed="81"/>
            <rFont val="Tahoma"/>
            <family val="2"/>
            <charset val="204"/>
          </rPr>
          <t xml:space="preserve">Прочие долгосрочные обязательства к оплате более чем через 12 месяцев, включая долгосрочный отсроченный доход.
</t>
        </r>
      </text>
    </comment>
    <comment ref="A36" authorId="0">
      <text>
        <r>
          <rPr>
            <sz val="8"/>
            <color indexed="81"/>
            <rFont val="Tahoma"/>
            <family val="2"/>
            <charset val="204"/>
          </rPr>
          <t xml:space="preserve">Стоимость капитала, оплаченного акционерами или членами за вычетом любых выкупленных долей или возмещенного капитала. </t>
        </r>
        <r>
          <rPr>
            <b/>
            <sz val="8"/>
            <color indexed="81"/>
            <rFont val="Tahoma"/>
            <family val="2"/>
            <charset val="204"/>
          </rPr>
          <t>Кредитным Союзам необходимо здесь указывать общую сумму сберегательных паев.</t>
        </r>
      </text>
    </comment>
    <comment ref="A37" authorId="2">
      <text>
        <r>
          <rPr>
            <sz val="8"/>
            <color indexed="81"/>
            <rFont val="Tahoma"/>
            <family val="2"/>
            <charset val="204"/>
          </rPr>
          <t>Общая сумма всех грантов, полученных и признанных как доход.</t>
        </r>
        <r>
          <rPr>
            <sz val="8"/>
            <color indexed="81"/>
            <rFont val="Tahoma"/>
            <family val="2"/>
            <charset val="204"/>
          </rPr>
          <t xml:space="preserve">
</t>
        </r>
      </text>
    </comment>
    <comment ref="A38" authorId="0">
      <text>
        <r>
          <rPr>
            <sz val="8"/>
            <color indexed="81"/>
            <rFont val="Tahoma"/>
            <family val="2"/>
            <charset val="204"/>
          </rPr>
          <t>Общая сумма грантов, полученных в предыдущие фискальные годы.</t>
        </r>
      </text>
    </comment>
    <comment ref="A39" authorId="0">
      <text>
        <r>
          <rPr>
            <sz val="8"/>
            <color indexed="81"/>
            <rFont val="Tahoma"/>
            <family val="2"/>
            <charset val="204"/>
          </rPr>
          <t>Сумма грантов, полученных в текущем фискальном году.</t>
        </r>
      </text>
    </comment>
    <comment ref="A40" authorId="0">
      <text>
        <r>
          <rPr>
            <sz val="8"/>
            <color indexed="81"/>
            <rFont val="Tahoma"/>
            <family val="2"/>
            <charset val="204"/>
          </rPr>
          <t xml:space="preserve">Общая сумма нераспределенной прибыли прошлых лет и текущего года. </t>
        </r>
      </text>
    </comment>
    <comment ref="A41" authorId="0">
      <text>
        <r>
          <rPr>
            <sz val="8"/>
            <color indexed="81"/>
            <rFont val="Tahoma"/>
            <family val="2"/>
            <charset val="204"/>
          </rPr>
          <t>Общая сумма чистого дохода (после налогов и до грантов) за предыдущие периоды, за вычетом дивидендов, выплаченных акционерам или членам.</t>
        </r>
      </text>
    </comment>
    <comment ref="A42" authorId="0">
      <text>
        <r>
          <rPr>
            <sz val="8"/>
            <color indexed="81"/>
            <rFont val="Tahoma"/>
            <family val="2"/>
            <charset val="204"/>
          </rPr>
          <t>Сумма чистого дохода (после налогов и до грантов) текущего фискального года.</t>
        </r>
      </text>
    </comment>
    <comment ref="A43" authorId="2">
      <text>
        <r>
          <rPr>
            <sz val="8"/>
            <color indexed="81"/>
            <rFont val="Tahoma"/>
            <family val="2"/>
            <charset val="204"/>
          </rPr>
          <t xml:space="preserve">Резервы в соответствии с законом, уставом или решением Совета. </t>
        </r>
        <r>
          <rPr>
            <b/>
            <sz val="8"/>
            <color indexed="81"/>
            <rFont val="Tahoma"/>
            <family val="2"/>
            <charset val="204"/>
          </rPr>
          <t>Кредитным Союзам необходимо здесь указывать сумму институционального капитала.</t>
        </r>
        <r>
          <rPr>
            <sz val="8"/>
            <color indexed="81"/>
            <rFont val="Tahoma"/>
            <family val="2"/>
            <charset val="204"/>
          </rPr>
          <t xml:space="preserve">
</t>
        </r>
      </text>
    </comment>
    <comment ref="A44" authorId="0">
      <text>
        <r>
          <rPr>
            <sz val="8"/>
            <color indexed="81"/>
            <rFont val="Tahoma"/>
            <family val="2"/>
            <charset val="204"/>
          </rPr>
          <t>Прочие счета собственного капитала, включая все переоценки и корректировки.</t>
        </r>
      </text>
    </comment>
  </commentList>
</comments>
</file>

<file path=xl/comments2.xml><?xml version="1.0" encoding="utf-8"?>
<comments xmlns="http://schemas.openxmlformats.org/spreadsheetml/2006/main">
  <authors>
    <author>Urmat</author>
    <author>Urmat Sarpekov</author>
  </authors>
  <commentList>
    <comment ref="A8" authorId="0">
      <text>
        <r>
          <rPr>
            <sz val="8"/>
            <color indexed="81"/>
            <rFont val="Tahoma"/>
            <family val="2"/>
            <charset val="204"/>
          </rPr>
          <t>Плата, полученная от клиентов за полученные взаймы от организации деньги в течение определенного периода времени.</t>
        </r>
      </text>
    </comment>
    <comment ref="A9" authorId="0">
      <text>
        <r>
          <rPr>
            <sz val="8"/>
            <color indexed="81"/>
            <rFont val="Tahoma"/>
            <family val="2"/>
            <charset val="204"/>
          </rPr>
          <t>Суммы, которые заемщики уплачивают за полученные от организации займы; назначаются как процент от суммы займа или как фиксированная сумма.</t>
        </r>
      </text>
    </comment>
    <comment ref="A10" authorId="0">
      <text>
        <r>
          <rPr>
            <sz val="8"/>
            <color indexed="81"/>
            <rFont val="Tahoma"/>
            <family val="2"/>
            <charset val="204"/>
          </rPr>
          <t>Суммы процентов, заработанные организацией на инвестициях, таких, как срочные депозиты и казначейские билеты.</t>
        </r>
      </text>
    </comment>
    <comment ref="A11" authorId="0">
      <text>
        <r>
          <rPr>
            <sz val="8"/>
            <color indexed="81"/>
            <rFont val="Tahoma"/>
            <family val="2"/>
            <charset val="204"/>
          </rPr>
          <t xml:space="preserve">Штрафные санкции, взимаемые с заемщиков, которые допустили просрочки и другие доходы, которые не были упомянуты выше. </t>
        </r>
      </text>
    </comment>
    <comment ref="A14" authorId="0">
      <text>
        <r>
          <rPr>
            <sz val="8"/>
            <color indexed="81"/>
            <rFont val="Tahoma"/>
            <family val="2"/>
            <charset val="204"/>
          </rPr>
          <t>Проценты, уплачиваемые банкам и другим финансовым учреждениям за использование денег, взятых взаймы организацией.</t>
        </r>
      </text>
    </comment>
    <comment ref="A15" authorId="0">
      <text>
        <r>
          <rPr>
            <sz val="8"/>
            <color indexed="81"/>
            <rFont val="Tahoma"/>
            <family val="2"/>
            <charset val="204"/>
          </rPr>
          <t>Уплата процентов клиентам, которые размещают в организации свои сбережения/различные виды депозитов.</t>
        </r>
      </text>
    </comment>
    <comment ref="A16" authorId="0">
      <text>
        <r>
          <rPr>
            <sz val="8"/>
            <color indexed="81"/>
            <rFont val="Tahoma"/>
            <family val="2"/>
            <charset val="204"/>
          </rPr>
          <t xml:space="preserve">Прочие виды процентных расходов. </t>
        </r>
      </text>
    </comment>
    <comment ref="A19" authorId="0">
      <text>
        <r>
          <rPr>
            <sz val="8"/>
            <color indexed="81"/>
            <rFont val="Tahoma"/>
            <family val="2"/>
            <charset val="204"/>
          </rPr>
          <t>Увеличение резерва на потери по займам, записывается как расходы в отчете о прибылях и убытках. Данные затраты не являются наличными денежными затратами. Это сумма изменения резерва, отражаемая в балансе. Данные затраты рассчитываются как процент от совокупного портфеля займов, который может быть не возвращен.</t>
        </r>
      </text>
    </comment>
    <comment ref="A22" authorId="0">
      <text>
        <r>
          <rPr>
            <sz val="8"/>
            <color indexed="81"/>
            <rFont val="Tahoma"/>
            <family val="2"/>
            <charset val="204"/>
          </rPr>
          <t>Включает зарплату персонала организации, вознаграждения и премии, налоги, уплачиваемые с заработной платы. Также может включать расходы на подбор и прием персонала на работу. Сюда не входят расходы на переподготовку и обучение персонала,
которые являются административными расходами.</t>
        </r>
      </text>
    </comment>
    <comment ref="A23" authorId="1">
      <text>
        <r>
          <rPr>
            <sz val="9"/>
            <color indexed="81"/>
            <rFont val="Tahoma"/>
            <family val="2"/>
            <charset val="204"/>
          </rPr>
          <t xml:space="preserve">Аренда, коммунальные услуги, транспортные расходы, связь, канц.товары и офисные пренадлежности, услуги консультантов и т.д.
</t>
        </r>
      </text>
    </comment>
    <comment ref="A24" authorId="0">
      <text>
        <r>
          <rPr>
            <sz val="8"/>
            <color indexed="81"/>
            <rFont val="Tahoma"/>
            <family val="2"/>
            <charset val="204"/>
          </rPr>
          <t>Ежегодный не денежный расход, который вычисляется исходя из срока эксплуатации каждого основного средства.</t>
        </r>
      </text>
    </comment>
    <comment ref="A25" authorId="0">
      <text>
        <r>
          <rPr>
            <sz val="8"/>
            <color indexed="81"/>
            <rFont val="Tahoma"/>
            <family val="2"/>
            <charset val="204"/>
          </rPr>
          <t xml:space="preserve">Прочие операционные расходы, такие как  лаготворительность, недостача и излишки в кассе, все налоги кроме налога на прибыль, такие как ФЛЧС, НДС, налог на автодороги и т.д.
</t>
        </r>
      </text>
    </comment>
    <comment ref="A29" authorId="0">
      <text>
        <r>
          <rPr>
            <sz val="8"/>
            <color indexed="81"/>
            <rFont val="Tahoma"/>
            <family val="2"/>
            <charset val="204"/>
          </rPr>
          <t xml:space="preserve">Доход/убыток от курсовой разницы, появившийся в следствие открытой валютной позиции и/или конвертации валют.  </t>
        </r>
      </text>
    </comment>
    <comment ref="A30" authorId="1">
      <text>
        <r>
          <rPr>
            <sz val="9"/>
            <color indexed="81"/>
            <rFont val="Tahoma"/>
            <family val="2"/>
            <charset val="204"/>
          </rPr>
          <t xml:space="preserve">Все доходы, которые напрямую не относятся к основной деятельности организации, например, доходы от торговли, от проведения тренингов и т.д. </t>
        </r>
      </text>
    </comment>
    <comment ref="A31" authorId="0">
      <text>
        <r>
          <rPr>
            <sz val="8"/>
            <color indexed="81"/>
            <rFont val="Tahoma"/>
            <family val="2"/>
            <charset val="204"/>
          </rPr>
          <t xml:space="preserve">Все расходы, которые напрямую не относятся к
основной деятельности организации, например, расходы от торговли, от проведения тренингов, если их проведение не является условием получения грантов. Сюда входят нетипичные, разовые
расходы. </t>
        </r>
      </text>
    </comment>
    <comment ref="A32" authorId="1">
      <text>
        <r>
          <rPr>
            <sz val="9"/>
            <color indexed="81"/>
            <rFont val="Tahoma"/>
            <family val="2"/>
            <charset val="204"/>
          </rPr>
          <t xml:space="preserve">Гранты, полученные на увеличение кредитного портфеля или покрытие операционных и иных расходов. 
</t>
        </r>
      </text>
    </comment>
    <comment ref="A35" authorId="0">
      <text>
        <r>
          <rPr>
            <sz val="8"/>
            <color indexed="81"/>
            <rFont val="Tahoma"/>
            <family val="2"/>
            <charset val="204"/>
          </rPr>
          <t>Все налоги, уплачиваемые из чистого дохода или исходя из других показателей дохода, установленные по закону.</t>
        </r>
      </text>
    </comment>
  </commentList>
</comments>
</file>

<file path=xl/comments3.xml><?xml version="1.0" encoding="utf-8"?>
<comments xmlns="http://schemas.openxmlformats.org/spreadsheetml/2006/main">
  <authors>
    <author>Urmat Sarpekov</author>
  </authors>
  <commentList>
    <comment ref="B7" authorId="0">
      <text>
        <r>
          <rPr>
            <sz val="9"/>
            <color indexed="81"/>
            <rFont val="Tahoma"/>
            <family val="2"/>
            <charset val="204"/>
          </rPr>
          <t xml:space="preserve">В данной таблице мы просим вас разделить активы и обязательства согласно их остаточным срокам, т.е. согласно тому, через какой промежуток времени данный актив/часть актива будет получен, или обязательства/часть обязательства будут выполнены. К примеру, кредитный портфель к погашению: если совокупный порфтель на Июнь 2012 года составляет 100 000 долларов США и 50 000 долларов будет погашено вашими клиентами в течение 30 дней (вы получите ваши деньги в течение 30 дней начиная с  Июнь 2012), 20 000 в период более 30 и менее 90 дней, и остальную сумму в срок между 91 и 180 днями, то вам нужно данные суммы к погашению указать в соответствующих ячейках согласно периодов, на которые приходятся погашения.
</t>
        </r>
      </text>
    </comment>
  </commentList>
</comments>
</file>

<file path=xl/comments4.xml><?xml version="1.0" encoding="utf-8"?>
<comments xmlns="http://schemas.openxmlformats.org/spreadsheetml/2006/main">
  <authors>
    <author>Urmat Sarpekov</author>
  </authors>
  <commentList>
    <comment ref="A108" authorId="0">
      <text>
        <r>
          <rPr>
            <sz val="9"/>
            <color indexed="81"/>
            <rFont val="Tahoma"/>
            <family val="2"/>
            <charset val="204"/>
          </rPr>
          <t xml:space="preserve">Кредиты, выданные членам органов управления и/или их родственникам; акционерам/участникам и/или их родственникам; лицам, имеющие единый источник доходов.  </t>
        </r>
      </text>
    </comment>
  </commentList>
</comments>
</file>

<file path=xl/comments5.xml><?xml version="1.0" encoding="utf-8"?>
<comments xmlns="http://schemas.openxmlformats.org/spreadsheetml/2006/main">
  <authors>
    <author>Urmat Sarpekov</author>
  </authors>
  <commentList>
    <comment ref="B8" authorId="0">
      <text>
        <r>
          <rPr>
            <sz val="9"/>
            <color indexed="81"/>
            <rFont val="Tahoma"/>
            <family val="2"/>
            <charset val="204"/>
          </rPr>
          <t xml:space="preserve">Например: Заемщик вышел на просрочку из-за спада/отсутствия продаж, падежа скота, изменения точки продаж или профиля бизнес деятельности, плохого урожая либо неурожая, низких цен на продукцию и т.д.  
</t>
        </r>
      </text>
    </comment>
    <comment ref="B9" authorId="0">
      <text>
        <r>
          <rPr>
            <sz val="9"/>
            <color indexed="81"/>
            <rFont val="Tahoma"/>
            <family val="2"/>
            <charset val="204"/>
          </rPr>
          <t xml:space="preserve">Например: Заемщик вышел на просрочку из-за семейно-бытовых проблем/разногласий (развод), смерти либо тяжолой болезни близких родственников, несчастных случаев (авария) и т.д.;
</t>
        </r>
      </text>
    </comment>
    <comment ref="B10" authorId="0">
      <text>
        <r>
          <rPr>
            <sz val="9"/>
            <color indexed="81"/>
            <rFont val="Tahoma"/>
            <family val="2"/>
            <charset val="204"/>
          </rPr>
          <t>Например: Заемщик скрывается по причине получения кредита по подложным документам, нецелевого использования кредита, передачи кредитных средств третьим лицам и т.д.</t>
        </r>
      </text>
    </comment>
    <comment ref="B11" authorId="0">
      <text>
        <r>
          <rPr>
            <sz val="9"/>
            <color indexed="81"/>
            <rFont val="Tahoma"/>
            <family val="2"/>
            <charset val="204"/>
          </rPr>
          <t xml:space="preserve">Например: Сотрудник компании оформил кредит на подставное лицо/фиктивные кредиты, в сговоре с заемщиком присвоил кредитные средства, сотрудник присваивал погашаемые заемщиком средства и т.д. 
</t>
        </r>
      </text>
    </comment>
    <comment ref="B12" authorId="0">
      <text>
        <r>
          <rPr>
            <sz val="9"/>
            <color indexed="81"/>
            <rFont val="Tahoma"/>
            <family val="2"/>
            <charset val="204"/>
          </rPr>
          <t xml:space="preserve">Например: Заемщик вышел на просрочку из-за локальных конфликтов, природных катаклизмов (землетрясение, наводнение, оползни и т.д.).
</t>
        </r>
      </text>
    </comment>
  </commentList>
</comments>
</file>

<file path=xl/comments6.xml><?xml version="1.0" encoding="utf-8"?>
<comments xmlns="http://schemas.openxmlformats.org/spreadsheetml/2006/main">
  <authors>
    <author>Urmat Sarpekov</author>
  </authors>
  <commentList>
    <comment ref="G9" authorId="0">
      <text>
        <r>
          <rPr>
            <sz val="9"/>
            <color indexed="81"/>
            <rFont val="Tahoma"/>
            <family val="2"/>
            <charset val="204"/>
          </rPr>
          <t xml:space="preserve">Описывается дата начала сотрудничества в виде получения первого кредита. Также описывается количество и общая сумма полученных кредитов за весь период сотрудничества, количество и сумма полностью погашенных кредитов. Указывается также наличие/отсутствие просрочек по полученным кредитам от Фронтиэрс.   </t>
        </r>
      </text>
    </comment>
    <comment ref="G10" authorId="0">
      <text>
        <r>
          <rPr>
            <sz val="9"/>
            <color indexed="81"/>
            <rFont val="Tahoma"/>
            <family val="2"/>
            <charset val="204"/>
          </rPr>
          <t xml:space="preserve">Представляется следующая информация по каждому акционеру:
- род деятельности;
- источники вложенного капитала;
- наличие/отсутствие и описание другого вида бизнеса;
- характер связи между акционерами и руководством и их репутация;
- другая информация об акционерах, о которой должны знать члены Кредитного Комитета. 
При наличии большого количества акционеров из числа физических лиц, информация представляется по тем, по которым участие в капитале составляет 10% и выше. </t>
        </r>
        <r>
          <rPr>
            <b/>
            <sz val="9"/>
            <color indexed="81"/>
            <rFont val="Tahoma"/>
            <family val="2"/>
            <charset val="204"/>
          </rPr>
          <t xml:space="preserve">
</t>
        </r>
        <r>
          <rPr>
            <sz val="9"/>
            <color indexed="81"/>
            <rFont val="Tahoma"/>
            <family val="2"/>
            <charset val="204"/>
          </rPr>
          <t xml:space="preserve">
</t>
        </r>
      </text>
    </comment>
    <comment ref="G11" authorId="0">
      <text>
        <r>
          <rPr>
            <sz val="9"/>
            <color indexed="81"/>
            <rFont val="Tahoma"/>
            <family val="2"/>
            <charset val="204"/>
          </rPr>
          <t xml:space="preserve">Описываются результаты анализа кредитной истории заемщика, основанные на кредитном отчете с КИБ, сформированное Кредитным Администратором. Необходимо указать количество и объем полученных от третьих лиц кредитов, наличие/отсутствие просрочек по ним, наличие и объем гарантий/поручительств по обязательствам третьи лиц. При наличии просрочек описать причины возникших просрочек по кредитам от третьих лиц.    
</t>
        </r>
      </text>
    </comment>
    <comment ref="G12" authorId="0">
      <text>
        <r>
          <rPr>
            <sz val="9"/>
            <color indexed="81"/>
            <rFont val="Tahoma"/>
            <family val="2"/>
            <charset val="204"/>
          </rPr>
          <t xml:space="preserve">Описываются результаты анализа кредитной истории учредителей, основанные на кредитном отчете с КИБ, сформированное Кредитным Администратором. Необходимо указать количество и объем полученных от третьих лиц кредитов, наличие/отсутствие просрочек по ним, наличие и объем гарантий/поручительств по обязательствам третьи лиц. При наличии просрочек описать причины возникших просрочек по кредитам от третьих лиц.       </t>
        </r>
        <r>
          <rPr>
            <b/>
            <sz val="9"/>
            <color indexed="81"/>
            <rFont val="Tahoma"/>
            <family val="2"/>
            <charset val="204"/>
          </rPr>
          <t xml:space="preserve"> </t>
        </r>
        <r>
          <rPr>
            <sz val="9"/>
            <color indexed="81"/>
            <rFont val="Tahoma"/>
            <family val="2"/>
            <charset val="204"/>
          </rPr>
          <t xml:space="preserve">
</t>
        </r>
      </text>
    </comment>
    <comment ref="G13" authorId="0">
      <text>
        <r>
          <rPr>
            <sz val="9"/>
            <color indexed="81"/>
            <rFont val="Tahoma"/>
            <family val="2"/>
            <charset val="204"/>
          </rPr>
          <t xml:space="preserve">Описываются результаты анализа заключения Кредитного Администратора по вопросам соответствия заемщика/участников законодательству по ПФТ/ОД. Кроме всего прочего, указывается уровень присвоенного риска, нахождение/отсутствие заемщика/учредителей в черном списке и т.д.      </t>
        </r>
      </text>
    </comment>
    <comment ref="G17" authorId="0">
      <text>
        <r>
          <rPr>
            <sz val="9"/>
            <color indexed="81"/>
            <rFont val="Tahoma"/>
            <family val="2"/>
            <charset val="204"/>
          </rPr>
          <t xml:space="preserve">Описываются основные выводы по итогам последнего мониторинга заемщика с указанием  даты посещения заемщика. Далее более широко раскрывается информация о:
• менеджменте заемщика - опыт, квалификация, репутация, изменения в структуре менеджмента, если были таковые. 
• наличие/отсутствие наблюдательного органа, его качественный состав и эффективность работы (периодичность собраний, наличие комитетов внутри и т.д.).  
• наличие/отсутствие службы внутреннего аудита, эффективность его работы (опыт работы, квалификация, качество отчетов, подотчетность наблюдательному органу).
• наличие/отсутствие функции риск менеджмента, качество исполнения данной функции.
• прочая информация касательно качества корпоративного управления.   
</t>
        </r>
      </text>
    </comment>
    <comment ref="G18" authorId="0">
      <text>
        <r>
          <rPr>
            <sz val="9"/>
            <color indexed="81"/>
            <rFont val="Tahoma"/>
            <family val="2"/>
            <charset val="204"/>
          </rPr>
          <t xml:space="preserve">В данном разделе дается характеристика в отношении (в любой последовательности):
• качественного состава сотрудников, занимающихся предоставлением кредитов и их одобрением;
• уровня качества оценки платежеспособности суб-заемщиков и их мониторинга;
• наличия/отсутствие, а также соблюдения внутренних лимитов по управлению кредитным риском. 
• наличие/отсутствие независимой оценки качества кредитной деятельности.
В заключении дается общая оценка адекватности системы управления кредитным риском у заемщика. 
</t>
        </r>
      </text>
    </comment>
    <comment ref="G19" authorId="0">
      <text>
        <r>
          <rPr>
            <sz val="9"/>
            <color indexed="81"/>
            <rFont val="Tahoma"/>
            <family val="2"/>
            <charset val="204"/>
          </rPr>
          <t xml:space="preserve">В данном разделе представляется следующий анализ внутренней нормативной базы заемщика: 
• Дается оценка адекватности кредитной политики и кредитных процедур заемщика.
• Представляется информация о соблюдении заемщиком своих внутренних кредитных политик и процедур, основанная на последнем выездном мониторинге.
• Дается оценка адекватности и соблюдения заемщиком иных внутренних документов, которые призваны минимизировать кредитные риски заемщика.
</t>
        </r>
      </text>
    </comment>
    <comment ref="G20" authorId="0">
      <text>
        <r>
          <rPr>
            <sz val="9"/>
            <color indexed="81"/>
            <rFont val="Tahoma"/>
            <family val="2"/>
            <charset val="204"/>
          </rPr>
          <t xml:space="preserve">Перечисляется список лимитов и требований Фронтиэрс, указанных в кредитных договорах с заемщиком, а также  указывается статус их исполнения. 
Перечисляется также список рекомендаций Фронтиэрс, которые были отправлены заемщику по итогам мониторинга, а также указывается статус их исполнения, планы заемщика по исполнению/неисполнению отправленных рекомендаций.  
</t>
        </r>
      </text>
    </comment>
    <comment ref="G21" authorId="0">
      <text>
        <r>
          <rPr>
            <sz val="9"/>
            <color indexed="81"/>
            <rFont val="Tahoma"/>
            <family val="2"/>
            <charset val="204"/>
          </rPr>
          <t xml:space="preserve">Описываются итоги последней инспекции НБ. В том числе, указывается дата проверки, перечисляются предписания НБ к заемщику, наличие либо потенциальные меры воздействий по итогам проверки, уровень присвоенного рейтинга (при наличии). Также указывается статус исполнения предписаний НБ, полученных в прошлом.  </t>
        </r>
      </text>
    </comment>
    <comment ref="G22" authorId="0">
      <text>
        <r>
          <rPr>
            <sz val="9"/>
            <color indexed="81"/>
            <rFont val="Tahoma"/>
            <charset val="1"/>
          </rPr>
          <t xml:space="preserve">Описывается прогнозный период, на который составлен бизнес план, дается характеристика содержанию бизнес-плана (заслуживает ли доверия бизнес план, не был ли он написан только для того, чтобы получить кредит от Фронтиэрс?). Комментируется стратегия развития и долгосрочное видение заемщика.  </t>
        </r>
      </text>
    </comment>
    <comment ref="G23" authorId="0">
      <text>
        <r>
          <rPr>
            <sz val="9"/>
            <color indexed="81"/>
            <rFont val="Tahoma"/>
            <family val="2"/>
            <charset val="204"/>
          </rPr>
          <t xml:space="preserve">Описывается прочая информация, о которой необходимо знать членам Кредитного Комитета. </t>
        </r>
      </text>
    </comment>
    <comment ref="G25" authorId="0">
      <text>
        <r>
          <rPr>
            <sz val="9"/>
            <color indexed="81"/>
            <rFont val="Tahoma"/>
            <family val="2"/>
            <charset val="204"/>
          </rPr>
          <t xml:space="preserve">Описание анализа финансовой отчетности и финансовых коэффициентов заемщика включает в себя (в любой последовательности):
• Описание изменений в структуре активов и пассивов, а также тенденции и причины этих изменений.
• Описание изменений в структуре доходов и расходов, а также тенденции и причины этих изменений.
• Тенденции изменений в финансовых коэффициентах и причины этих изменений. 
• Выводы по итогам анализа. В выводах необходимо дать характеристику финансовой деятельности заемщика за прошлые периоды, а также устойчивости деятельности в будущем.
Необходимо представить достаточный объем информации в данном разделе для того, чтобы обосновать свои выводы.      
</t>
        </r>
      </text>
    </comment>
    <comment ref="G27" authorId="0">
      <text>
        <r>
          <rPr>
            <sz val="9"/>
            <color indexed="81"/>
            <rFont val="Tahoma"/>
            <family val="2"/>
            <charset val="204"/>
          </rPr>
          <t xml:space="preserve">Описание анализа кредитного портфеля и его качества включает в себя (в любой последовательности):
• Описание изменений в структуре кредитного портфеля, кредитных продуктов, а также тенденции и причины этих изменений.
• Описание тенденций в качестве кредитного портфеля и причины его улучшения/ухудшения.
• Описание уровня рисков, связанных с концентрацией кредитного портфеля по секторам, продуктам, размерам кредитов, кредитов связанным сторонам. 
• Выводы по итогам анализа. В выводах необходимо дать характеристику кредитной деятельности заемщика за прошлые периоды, а также устойчивости деятельности в будущем.    
Необходимо представить достаточный объем информации в данном разделе для того, чтобы обосновать свои выводы.      
</t>
        </r>
      </text>
    </comment>
    <comment ref="G29" authorId="0">
      <text>
        <r>
          <rPr>
            <sz val="9"/>
            <color indexed="81"/>
            <rFont val="Tahoma"/>
            <family val="2"/>
            <charset val="204"/>
          </rPr>
          <t>Описывается прочая информация, о которой необходимо знать членам Кредитного Комитета.</t>
        </r>
      </text>
    </comment>
    <comment ref="G32" authorId="0">
      <text>
        <r>
          <rPr>
            <sz val="9"/>
            <color indexed="81"/>
            <rFont val="Tahoma"/>
            <family val="2"/>
            <charset val="204"/>
          </rPr>
          <t xml:space="preserve">Описываются существенные риски, имеющиеся в деятельности заемщика, которые могут негативно повлиять на платежеспособность заемщика и увеличивают кредитный риск Фронтиэрс. </t>
        </r>
      </text>
    </comment>
    <comment ref="G35" authorId="0">
      <text>
        <r>
          <rPr>
            <sz val="9"/>
            <color indexed="81"/>
            <rFont val="Tahoma"/>
            <family val="2"/>
            <charset val="204"/>
          </rPr>
          <t xml:space="preserve">Представляется один из следующих выводов по кредитоспособности заемщика:
1. «Заемщик ………………(указывается наименование заемщика) соответствует требованиям кредитной политики Фронтиэрс и может быть профинансирован.»
2. «Заемщик ……………..(указывается наименование заемщика) соответствует требованиям кредитной политики Фронтиэрс за исключением………………………. Предлагается профинансировать заемщика и установить следующие условия………………………………»
3. «Заемщик …………………………(указывается наименование заемщика) не соответствует требованиям кредитной политики Фронтиэрс.» 
</t>
        </r>
      </text>
    </comment>
  </commentList>
</comments>
</file>

<file path=xl/comments7.xml><?xml version="1.0" encoding="utf-8"?>
<comments xmlns="http://schemas.openxmlformats.org/spreadsheetml/2006/main">
  <authors>
    <author>urmat</author>
  </authors>
  <commentList>
    <comment ref="A5" authorId="0">
      <text>
        <r>
          <rPr>
            <b/>
            <sz val="8"/>
            <color indexed="81"/>
            <rFont val="Tahoma"/>
            <family val="2"/>
            <charset val="204"/>
          </rPr>
          <t>urmat:</t>
        </r>
        <r>
          <rPr>
            <sz val="8"/>
            <color indexed="81"/>
            <rFont val="Tahoma"/>
            <family val="2"/>
            <charset val="204"/>
          </rPr>
          <t xml:space="preserve">
Open "B" column to look at the meanings of each ratio.</t>
        </r>
      </text>
    </comment>
    <comment ref="A12" authorId="0">
      <text>
        <r>
          <rPr>
            <b/>
            <sz val="8"/>
            <color indexed="81"/>
            <rFont val="Tahoma"/>
            <family val="2"/>
            <charset val="204"/>
          </rPr>
          <t>urmat:</t>
        </r>
        <r>
          <rPr>
            <sz val="8"/>
            <color indexed="81"/>
            <rFont val="Tahoma"/>
            <family val="2"/>
            <charset val="204"/>
          </rPr>
          <t xml:space="preserve">
Open "B" column to look at the meanings of each ratio.</t>
        </r>
      </text>
    </comment>
    <comment ref="A25" authorId="0">
      <text>
        <r>
          <rPr>
            <b/>
            <sz val="8"/>
            <color indexed="81"/>
            <rFont val="Tahoma"/>
            <family val="2"/>
            <charset val="204"/>
          </rPr>
          <t>urmat:</t>
        </r>
        <r>
          <rPr>
            <sz val="8"/>
            <color indexed="81"/>
            <rFont val="Tahoma"/>
            <family val="2"/>
            <charset val="204"/>
          </rPr>
          <t xml:space="preserve">
Open "B" column to look at the meanings of each ratio.</t>
        </r>
      </text>
    </comment>
    <comment ref="A35" authorId="0">
      <text>
        <r>
          <rPr>
            <b/>
            <sz val="8"/>
            <color indexed="81"/>
            <rFont val="Tahoma"/>
            <family val="2"/>
            <charset val="204"/>
          </rPr>
          <t>urmat:</t>
        </r>
        <r>
          <rPr>
            <sz val="8"/>
            <color indexed="81"/>
            <rFont val="Tahoma"/>
            <family val="2"/>
            <charset val="204"/>
          </rPr>
          <t xml:space="preserve">
Open "B" column to look at the meanings of each ratio.</t>
        </r>
      </text>
    </comment>
    <comment ref="A49" authorId="0">
      <text>
        <r>
          <rPr>
            <b/>
            <sz val="8"/>
            <color indexed="81"/>
            <rFont val="Tahoma"/>
            <family val="2"/>
            <charset val="204"/>
          </rPr>
          <t>urmat:</t>
        </r>
        <r>
          <rPr>
            <sz val="8"/>
            <color indexed="81"/>
            <rFont val="Tahoma"/>
            <family val="2"/>
            <charset val="204"/>
          </rPr>
          <t xml:space="preserve">
Open "B" column to look at the meanings of each ratio.</t>
        </r>
      </text>
    </comment>
  </commentList>
</comments>
</file>

<file path=xl/sharedStrings.xml><?xml version="1.0" encoding="utf-8"?>
<sst xmlns="http://schemas.openxmlformats.org/spreadsheetml/2006/main" count="1808" uniqueCount="1460">
  <si>
    <t xml:space="preserve">1. С момента основания, вовлекалась ли Ваша  организация в  судебный процесс в качестве ответчика или находилось ли под угрозой судебного процесса? Если "да", пожалуйста, приложите короткое объяснение этого судебного процесса, и опишите его решение. </t>
  </si>
  <si>
    <t>2. С момента основания, вовлекалась ли Ваша организация в расследования или находилось ли  под угрозой расследований какого-либо государственного органа?</t>
  </si>
  <si>
    <t>3. Получала ли Ваша  организация средства от какой-либо государственной структуры?</t>
  </si>
  <si>
    <t>4. Есть ли в Правлении или штате организации представитель от государственной структуры?</t>
  </si>
  <si>
    <t xml:space="preserve">5. Как давно Руководитель Вашей организации занимает свою настоящую должность?  </t>
  </si>
  <si>
    <t xml:space="preserve">6. Сколько лет опыта работы имеет Руководитель/Генеральный Директор в финансово-кредитной сфере? </t>
  </si>
  <si>
    <t>7. Погашены ли все налоговые обязательства? Если нет, то объясните почему.</t>
  </si>
  <si>
    <t xml:space="preserve">8. Является ли Ваша организация индоссантом, поручителем или соучастником какого-либо обязательства, не включенного в финансовых отчетах? Если «Да», то каково условное обязательство? </t>
  </si>
  <si>
    <t>9. Имеются ли у Вас какие-либо основные средства, обремененные залогом или находящиеся под арестом любого типа? Если «Да», то приложите дополнительный лист с подробным описанием.</t>
  </si>
  <si>
    <t xml:space="preserve">Да </t>
  </si>
  <si>
    <t>ЗАСВИДЕТЕЛЬСТВОВАНИЕ</t>
  </si>
  <si>
    <t>Подпись, Печать</t>
  </si>
  <si>
    <t>Дата</t>
  </si>
  <si>
    <t>________________</t>
  </si>
  <si>
    <t>КОНТРОЛЬНЫЙ ПЕРЕЧЕНЬ КРЕДИТНОЙ ЗАЯВКИ</t>
  </si>
  <si>
    <t>Информация о портфеле в риске по состоянию на последнюю отчетную дату:</t>
  </si>
  <si>
    <t>Portfolio at Risk Report as of last reporting date:</t>
  </si>
  <si>
    <t>№</t>
  </si>
  <si>
    <t>Процентная ставка</t>
  </si>
  <si>
    <t>Валюта кредита</t>
  </si>
  <si>
    <t xml:space="preserve">Дата полного погашения </t>
  </si>
  <si>
    <t>ЗАПРОС НА ПОЛУЧЕНИЕ КРЕДИТА</t>
  </si>
  <si>
    <t>Год основания (день/м-ц/год):</t>
  </si>
  <si>
    <t>Микрокредитная организация</t>
  </si>
  <si>
    <t>Микрозаемный фонд</t>
  </si>
  <si>
    <t>Microlending Company</t>
  </si>
  <si>
    <t>Microlending Fund</t>
  </si>
  <si>
    <t>e-mail:</t>
  </si>
  <si>
    <t>Запрашиваемые дополнительные условия</t>
  </si>
  <si>
    <t>Наименование кредитора</t>
  </si>
  <si>
    <t>Размер требуемого кредита (прописью):</t>
  </si>
  <si>
    <t>Requested loan amount (indicate in writing):</t>
  </si>
  <si>
    <t>Запрашиваемый срок кредита (в месяцах):</t>
  </si>
  <si>
    <t>Requested loan term (in months):</t>
  </si>
  <si>
    <t>НА КОНЕЦ СРОКА КРЕДИТА</t>
  </si>
  <si>
    <t>AFTER REPAYMENT OF LOAN</t>
  </si>
  <si>
    <t>Дата полного погашения</t>
  </si>
  <si>
    <t xml:space="preserve">Дата выдачи </t>
  </si>
  <si>
    <t>Сумма выданного кредита</t>
  </si>
  <si>
    <t>Текущий баланс/остаток долга</t>
  </si>
  <si>
    <t>Залог</t>
  </si>
  <si>
    <t>В национальной валюте</t>
  </si>
  <si>
    <t>В долларах США</t>
  </si>
  <si>
    <t>Прочие текущие активы</t>
  </si>
  <si>
    <t>В16</t>
  </si>
  <si>
    <t xml:space="preserve">Краткосрочные займы </t>
  </si>
  <si>
    <t xml:space="preserve">Прочие краткосрочные обязательства </t>
  </si>
  <si>
    <t>В26</t>
  </si>
  <si>
    <t>Нераспред.прибыль итого:</t>
  </si>
  <si>
    <t>Прочие капитальные счета</t>
  </si>
  <si>
    <t>В32</t>
  </si>
  <si>
    <t>ОТЧЕТ О ПРИБЫЛЯХ И УБЫТКАХ</t>
  </si>
  <si>
    <t>Чистая финансовая маржа (I10 - I11)</t>
  </si>
  <si>
    <t>Зарплата и отчисления в Соц.фонд</t>
  </si>
  <si>
    <t>СКОРРЕК. БАЛАНС</t>
  </si>
  <si>
    <t>ADJUSTED BALANCE SHEET</t>
  </si>
  <si>
    <t>Inflation rate</t>
  </si>
  <si>
    <t>Ставка инфляции</t>
  </si>
  <si>
    <t>Рыночная ставка</t>
  </si>
  <si>
    <t>Shadow rate</t>
  </si>
  <si>
    <t>Short Term Borrowings</t>
  </si>
  <si>
    <t xml:space="preserve">Other Short Term Liabilities </t>
  </si>
  <si>
    <t xml:space="preserve">Paid-in Equity </t>
  </si>
  <si>
    <t>Retained Net Profit total:</t>
  </si>
  <si>
    <t>English</t>
  </si>
  <si>
    <t>USD</t>
  </si>
  <si>
    <t xml:space="preserve">Прочие фин. доходы </t>
  </si>
  <si>
    <t xml:space="preserve">Other fin. income </t>
  </si>
  <si>
    <t xml:space="preserve">Прочие фин. расходы </t>
  </si>
  <si>
    <t>График</t>
  </si>
  <si>
    <t>Расчеты для графика</t>
  </si>
  <si>
    <t>Доходность портфеля</t>
  </si>
  <si>
    <t>Коэфф-нт опер.расходов</t>
  </si>
  <si>
    <t>&lt;5%</t>
  </si>
  <si>
    <t xml:space="preserve">Currency Unit used - </t>
  </si>
  <si>
    <t>Number of staff total:</t>
  </si>
  <si>
    <t>Индивидуальное</t>
  </si>
  <si>
    <t>Групповое</t>
  </si>
  <si>
    <t>Другой вид кредитования</t>
  </si>
  <si>
    <t xml:space="preserve">Сумма </t>
  </si>
  <si>
    <t>Кол-во кредитов</t>
  </si>
  <si>
    <t>Доля (сумма)</t>
  </si>
  <si>
    <t>ИТОГО</t>
  </si>
  <si>
    <t>Животноводство</t>
  </si>
  <si>
    <t>Ипотека</t>
  </si>
  <si>
    <t>Производство</t>
  </si>
  <si>
    <t>менее 500 долл.США</t>
  </si>
  <si>
    <t>от 501 - 1000 долл.США</t>
  </si>
  <si>
    <t>от 1001 - 5000 долл.США</t>
  </si>
  <si>
    <t>от 5001 - 10000 долл.США</t>
  </si>
  <si>
    <t>более 10000 долл.США</t>
  </si>
  <si>
    <t>Текущий кредитный портфель (остаток долга без просрочек)</t>
  </si>
  <si>
    <t>Статус кредитного портфеля</t>
  </si>
  <si>
    <t>Кредитный портфель (остаток долга), по которым имеется просрочка по основной сумме и/или начисленных процентов</t>
  </si>
  <si>
    <t xml:space="preserve">   от 1 до 30 дней</t>
  </si>
  <si>
    <t xml:space="preserve">   от 31 до 90 дней</t>
  </si>
  <si>
    <t xml:space="preserve">   от 91 до 180 дней</t>
  </si>
  <si>
    <t xml:space="preserve">   от 181 до 360 дней</t>
  </si>
  <si>
    <t xml:space="preserve">   более 360 дней</t>
  </si>
  <si>
    <t>Пролонгированные/реструктуризированные кредиты</t>
  </si>
  <si>
    <t>Количество сотрудников  всего:</t>
  </si>
  <si>
    <t>Сумма</t>
  </si>
  <si>
    <t>LOAN PORTFOLIO ANALYSIS</t>
  </si>
  <si>
    <t>АНАЛИЗ КРЕДИТНОГО ПОРТФЕЛЯ</t>
  </si>
  <si>
    <t>менее 3 месяцев</t>
  </si>
  <si>
    <t>от 3-6 месяцев</t>
  </si>
  <si>
    <t>Если "Да", то какой аудиторской компанией?</t>
  </si>
  <si>
    <t>Проводился ли аудит отчетности за период указанный слева?</t>
  </si>
  <si>
    <t>Has the financial data been audited for the period indicated in the left</t>
  </si>
  <si>
    <t>If "Yes", by which audit company?</t>
  </si>
  <si>
    <t>If "Yes", by which rating company?</t>
  </si>
  <si>
    <t>Если "Да", то какой рейтинговой компанией?</t>
  </si>
  <si>
    <t xml:space="preserve">  год:</t>
  </si>
  <si>
    <t xml:space="preserve"> м. </t>
  </si>
  <si>
    <t xml:space="preserve"> года:</t>
  </si>
  <si>
    <t xml:space="preserve"> году:</t>
  </si>
  <si>
    <t xml:space="preserve">в </t>
  </si>
  <si>
    <t>ИНФОРМАЦИЯ О ФИНАНСОВОЙ ОТЧЕТНОСТИ И ВНЕШНЕЙ ОЦЕНКЕ ДЕЯТЕЛЬНОСТИ</t>
  </si>
  <si>
    <t>INFORMATION ABOUT FINANCIAL REPORTS AND EXTERNAL EVALUATION OF CORE ACTIVITY</t>
  </si>
  <si>
    <t>Руководитель компании:</t>
  </si>
  <si>
    <t>_______________________</t>
  </si>
  <si>
    <t>Подпись/печать</t>
  </si>
  <si>
    <t>Подпись</t>
  </si>
  <si>
    <t>Главный бухгалтер</t>
  </si>
  <si>
    <t>Chairman of the company:</t>
  </si>
  <si>
    <t>Chief Accountant</t>
  </si>
  <si>
    <t>Signature</t>
  </si>
  <si>
    <t>Signature/Seal</t>
  </si>
  <si>
    <t>_____________________________</t>
  </si>
  <si>
    <t>___________</t>
  </si>
  <si>
    <t>от 6-12 месяцев</t>
  </si>
  <si>
    <t>от 12-24 месяцев</t>
  </si>
  <si>
    <t xml:space="preserve">Other fin. expenses </t>
  </si>
  <si>
    <t>Salary and Social Fund Expenses</t>
  </si>
  <si>
    <t>ОТЧЕТНЫЙ ПЕРИОД :</t>
  </si>
  <si>
    <t>REPORTING PERIOD :</t>
  </si>
  <si>
    <t>(Financial Expense + Impairment Losses on Loans  + Operating Expense)</t>
  </si>
  <si>
    <t>Финансовая Самоокупаемость</t>
  </si>
  <si>
    <t>Доходность активов (ROA)</t>
  </si>
  <si>
    <t>Финансовый доход</t>
  </si>
  <si>
    <t>(Финансовые расходы + Изменение резерва под убытки (Провизия)  + Операционные расходы)</t>
  </si>
  <si>
    <t>Устойчивость и Доходность</t>
  </si>
  <si>
    <t>(Скорр.финансовые расходы + Скорр.изменение резерва под убытки (Провизия) + Скорр. Операционные расходы)</t>
  </si>
  <si>
    <t>Чистая прибыль после уплаты налогов</t>
  </si>
  <si>
    <t>Средний итог активов</t>
  </si>
  <si>
    <t>Скорр. доходность активов (AROA)</t>
  </si>
  <si>
    <t>Скорр. чистая прибыль после уплаты налогов</t>
  </si>
  <si>
    <t>Средний итог скорр. активов</t>
  </si>
  <si>
    <t>Доходность капитала (ROE)</t>
  </si>
  <si>
    <t>Средний итог капитала</t>
  </si>
  <si>
    <t>Скорр. доходность капитала (AROE)</t>
  </si>
  <si>
    <t xml:space="preserve">Средний итог скорр. капитала </t>
  </si>
  <si>
    <t>Управление активами/пассивами</t>
  </si>
  <si>
    <t>Graph Calculations</t>
  </si>
  <si>
    <t>Graph</t>
  </si>
  <si>
    <t>Средний итог общего кредитного портфеля</t>
  </si>
  <si>
    <t>Соотношение кредитного портфеля к общим активам</t>
  </si>
  <si>
    <t>Общий кредитный портфель</t>
  </si>
  <si>
    <t>Итого активы</t>
  </si>
  <si>
    <t>Стоимость средств</t>
  </si>
  <si>
    <t>Финансовые расходы по внешним ресурсам</t>
  </si>
  <si>
    <t>(Средний итог депозитов + Средний итог внешних займов)</t>
  </si>
  <si>
    <t xml:space="preserve">Скорр. стоимость средств </t>
  </si>
  <si>
    <t>Скорр.финансовые расходы по внешним ресурсам</t>
  </si>
  <si>
    <t>Соотношение обязательств к капиталу</t>
  </si>
  <si>
    <t>Обязательства</t>
  </si>
  <si>
    <t>Капитал</t>
  </si>
  <si>
    <t>Скорр. соотношение обязательств к капиталу</t>
  </si>
  <si>
    <t>Скорр. капитал</t>
  </si>
  <si>
    <t>Ликвидность</t>
  </si>
  <si>
    <t>Касса и расчетные счета (счета в банках) + Краткосрочные инвестиции/Депозитные счета</t>
  </si>
  <si>
    <t>(Депозиты до восстребования+краткосрочные срочные депозиты+краткосрочные займы+проценты к оплате по внешним ресурсам+счета к оплате и другие краткосрочные обязательства)</t>
  </si>
  <si>
    <t>PAR &gt; 30 дней+сумма реструктурированных кредитов</t>
  </si>
  <si>
    <t>Коэффициент списаний кредитов</t>
  </si>
  <si>
    <t>Сумма списанных кредитов</t>
  </si>
  <si>
    <t>Скорр. средний общий кредитный портфель</t>
  </si>
  <si>
    <t>Коэффициент покрытия риска</t>
  </si>
  <si>
    <t>Резерв под убытки по займам</t>
  </si>
  <si>
    <t>Эффективность и производительность</t>
  </si>
  <si>
    <t>Операционные расходы</t>
  </si>
  <si>
    <t>Скорр. коэффициент операционных расходов</t>
  </si>
  <si>
    <t>Скорр. операционные расходы</t>
  </si>
  <si>
    <t>Кол-во заемщиков на одного кредитного специалиста</t>
  </si>
  <si>
    <t>Кол-во заемщиков</t>
  </si>
  <si>
    <t>B14</t>
  </si>
  <si>
    <t>ИТОГО АКТИВЫ (B8+B13)</t>
  </si>
  <si>
    <t>TOTAL ASSETS (B8+B13)</t>
  </si>
  <si>
    <t>В33</t>
  </si>
  <si>
    <t>В34</t>
  </si>
  <si>
    <t>В35</t>
  </si>
  <si>
    <t>Кол-во кредитных специалистов</t>
  </si>
  <si>
    <t>Кол-во активных клиентов на одного члена персонала</t>
  </si>
  <si>
    <t>Кол-во активных клиентов</t>
  </si>
  <si>
    <t>Общее кол-во персонала</t>
  </si>
  <si>
    <t>Средний остаток действующего кредита</t>
  </si>
  <si>
    <t>Кол-во активных кредитов</t>
  </si>
  <si>
    <t>Средняя сумма выданного кредита</t>
  </si>
  <si>
    <t>Сумма выданных кредитов</t>
  </si>
  <si>
    <t>Кол-во выданных кредитов</t>
  </si>
  <si>
    <t>Качество кредитного портфеля</t>
  </si>
  <si>
    <t>АНАЛИЗ ФИНАНСОВЫХ КОЭФФИЦИЕНТОВ</t>
  </si>
  <si>
    <t>FINANCIAL RATIOS ANALYSIS</t>
  </si>
  <si>
    <t>No data</t>
  </si>
  <si>
    <t>Нет данных</t>
  </si>
  <si>
    <t xml:space="preserve">Indicates the degree to which the MFI maintains cash and cash equivalents to cover short-term liabilities. Short-term means assets or liabilities or any portion thereof that have a due date, maturity date, or may be readily converted to cash within 12 months. </t>
  </si>
  <si>
    <t>Cash +Trade Investments</t>
  </si>
  <si>
    <t>(Demand Deposits+Short-term Time Deposits+Short-term Borrowings+Interest Payable on Funding Liabilities +Accounts Payable and Other Short-term Liabilities</t>
  </si>
  <si>
    <t>Portfolio Quality</t>
  </si>
  <si>
    <t>The most accepted measure of portfolio quality. The most common international measurements of PAR are &gt; 30 days and &gt; 90 days.</t>
  </si>
  <si>
    <t>PAR &gt; 30 Days +Value of Renegotiated Loans</t>
  </si>
  <si>
    <t>Write-off Ratio*</t>
  </si>
  <si>
    <t xml:space="preserve">Represents the percentage of the MFI's loans that has been removed from the balance of the gross loan portfolio because they are unlikely to be repaid. MFIs' write-off policies vary and it is recommended that managers calculate this ratio on an adjusted basis. </t>
  </si>
  <si>
    <t>Value of Loans Written-off</t>
  </si>
  <si>
    <t>Average Adjusted Gross Loan Portfolio</t>
  </si>
  <si>
    <t>Risk Coverage Ratio</t>
  </si>
  <si>
    <t xml:space="preserve">TABLE 1. Please, provide information about credit history of your organization including the outstanding loans received from other Lenders as well as fully repaid loans, notes and mortgages payable. Attach an official document from the Lender certifying that all loans have been current.  </t>
  </si>
  <si>
    <t>Name of the Lender</t>
  </si>
  <si>
    <t>Date of disbursement</t>
  </si>
  <si>
    <t>Date of full repayment</t>
  </si>
  <si>
    <t>Loan amount disbursed</t>
  </si>
  <si>
    <t>Oustanding balance</t>
  </si>
  <si>
    <t>Collateral</t>
  </si>
  <si>
    <t>ТАБЛИЦА 2. Поручительства и гарантии, выданные организацией: Внесите в список все поручительства и гарантии организации, выданные третьим лицам, должностным лицам организации. В случае необходимости, приложите дополнительный лист.</t>
  </si>
  <si>
    <t>Получатель гарантии/поручительства</t>
  </si>
  <si>
    <t>Сумма гарантии/поручительства</t>
  </si>
  <si>
    <t>Guarantee recipient</t>
  </si>
  <si>
    <t>Date issued</t>
  </si>
  <si>
    <t>Date of closure</t>
  </si>
  <si>
    <t>Guarantee amount</t>
  </si>
  <si>
    <t xml:space="preserve">    Indexed loans to USD</t>
  </si>
  <si>
    <t xml:space="preserve">    Indexed loans to EURO</t>
  </si>
  <si>
    <t>Индексированные кредиты к ЕВРО</t>
  </si>
  <si>
    <t>Индексированные кредиты к $ США</t>
  </si>
  <si>
    <t>TABLE 2. Guarantees provided by the organization: Please, list all guarantees provided by the organization to the third parties, employees. Attach additional sheet if more space is needed.</t>
  </si>
  <si>
    <t>Обменный курс 1 долл.США по отношению к национальной валюте на последнюю отчетную дату:</t>
  </si>
  <si>
    <t>Information about external borrowings and other liabilities as of last reporting date:</t>
  </si>
  <si>
    <t>Current exchange rate of 1 US$ against to the national currency as of last reporting date:</t>
  </si>
  <si>
    <t>PROJECTED</t>
  </si>
  <si>
    <t>Assets Structure</t>
  </si>
  <si>
    <t xml:space="preserve">Shows how much of the portfolio at risk is covered by the MFI's Impairment Loss Allowance. </t>
  </si>
  <si>
    <t>Impairment Loss Allowance</t>
  </si>
  <si>
    <t>Portfolio at Risk &gt; 30 days + Value of Renegotiated Loans</t>
  </si>
  <si>
    <t>Efficiency and Productivity</t>
  </si>
  <si>
    <t>Operating Expense Ratio*</t>
  </si>
  <si>
    <t xml:space="preserve">Highlights personnel and administrative expenses relative to the loan portfolio, and is the most commonly used efficiency indicator. </t>
  </si>
  <si>
    <t>Adjusted Operating Expense Ratio*</t>
  </si>
  <si>
    <t>Adjusted Operating Expense</t>
  </si>
  <si>
    <t>Borrowers per Loan Officer</t>
  </si>
  <si>
    <t xml:space="preserve">Measures the average caseload of each loan officer, or average number of borrowers managed by one loan officer.  </t>
  </si>
  <si>
    <t>Number of Active Borrowers</t>
  </si>
  <si>
    <t>Number of Loan Officers</t>
  </si>
  <si>
    <t>Active Clients per Staff Member</t>
  </si>
  <si>
    <t xml:space="preserve">Defined as the overall productivity of the MFI's personnel in terms of managing clients, including borrowers, voluntary savers, and other clients. </t>
  </si>
  <si>
    <t>Number of Active Clients</t>
  </si>
  <si>
    <t>Total Number of Personnel</t>
  </si>
  <si>
    <t>Average Outstanding Loan Size</t>
  </si>
  <si>
    <t>Measures the average outstanding loan balance per borrower. This is a driver of profitability and also a measure of how much of each loan is available to clients.</t>
  </si>
  <si>
    <t>Number of Loans Outstanding</t>
  </si>
  <si>
    <t>Average Loan Disbursed</t>
  </si>
  <si>
    <t xml:space="preserve">Measures the average value of each loan disbursed. This is frequently used to project disbursements. Both this and the previous are often compared to (N12) GNI Per Capita.      </t>
  </si>
  <si>
    <t>Value of Loans Disbursed</t>
  </si>
  <si>
    <t>Number of Loans Disbursed</t>
  </si>
  <si>
    <t>I25</t>
  </si>
  <si>
    <t>I. Outstanding Loan Portfolio: breake down by lending methodology</t>
  </si>
  <si>
    <t>II. Outstanding Loan Portfolio: breake down by lending currency</t>
  </si>
  <si>
    <t xml:space="preserve">    In local currecny</t>
  </si>
  <si>
    <t xml:space="preserve">    In EURO</t>
  </si>
  <si>
    <t xml:space="preserve">    In US Dollar</t>
  </si>
  <si>
    <t xml:space="preserve">    In other foreign currency</t>
  </si>
  <si>
    <t>В ЕВРО</t>
  </si>
  <si>
    <t>В другой иностранной валюте</t>
  </si>
  <si>
    <t>III. Outstanding Loan Portfolio: break down by sectors</t>
  </si>
  <si>
    <t xml:space="preserve">III. Объем кредитного портфеля в разрезе отраслей </t>
  </si>
  <si>
    <t>V. Outstanding Loan Portfolio: break down by terms  </t>
  </si>
  <si>
    <t>V. Объем кредитного портфеля в разрезе сроков кредитования  </t>
  </si>
  <si>
    <t>II. Объем кредитного портфеля в разрезе валюты кредитования</t>
  </si>
  <si>
    <t>Неоперационные доходы</t>
  </si>
  <si>
    <t>Неоперационные расходы</t>
  </si>
  <si>
    <t>Cost of Funds Ratio</t>
  </si>
  <si>
    <t>Adjusted Cost of Funds</t>
  </si>
  <si>
    <t>Return on Assets (ROA)</t>
  </si>
  <si>
    <t>Adjusted Return on Assets (AROA)</t>
  </si>
  <si>
    <t>Return on Equity (ROE)</t>
  </si>
  <si>
    <t>Adjusted Return on Equity (AROE)</t>
  </si>
  <si>
    <t>Yield on Gross Portfolio</t>
  </si>
  <si>
    <t>Retained Net Profit/(Loss) - Current Period</t>
  </si>
  <si>
    <t>Net Profit/(Loss) - Prior Years</t>
  </si>
  <si>
    <t>СКОРРЕК. ОТЧЕТ О ПРИБЫЛИ И УБЫТКАХ</t>
  </si>
  <si>
    <t>ADJUSTED INCOME STATEMENT</t>
  </si>
  <si>
    <t>Inflation adjustment, fixed assets</t>
  </si>
  <si>
    <t>Поправка на инфляцию, основные средства</t>
  </si>
  <si>
    <t>Inflation adjustment, equity</t>
  </si>
  <si>
    <t>Поправка на инфляцию, капитал</t>
  </si>
  <si>
    <t>Поправка на субсидированную стоимость средств</t>
  </si>
  <si>
    <t>Налог на прибыль</t>
  </si>
  <si>
    <t>БАЛАНС</t>
  </si>
  <si>
    <t>BALANCE SHEET</t>
  </si>
  <si>
    <t>Обменный курс 1 долл.США =</t>
  </si>
  <si>
    <t>Current Exchange Rate 1US$ =</t>
  </si>
  <si>
    <t>АКТИВЫ</t>
  </si>
  <si>
    <t>ASSETS</t>
  </si>
  <si>
    <t>Local Currency</t>
  </si>
  <si>
    <t>B1</t>
  </si>
  <si>
    <t>B2</t>
  </si>
  <si>
    <t>Short Term Investments/Interest Bearing Deposits</t>
  </si>
  <si>
    <t>B3</t>
  </si>
  <si>
    <t>B4</t>
  </si>
  <si>
    <t>(Резерв под убытки по займам)</t>
  </si>
  <si>
    <t>(Loan Loss Reserve)</t>
  </si>
  <si>
    <t>B5</t>
  </si>
  <si>
    <t>B6</t>
  </si>
  <si>
    <t>Other Current Assets</t>
  </si>
  <si>
    <t>B7</t>
  </si>
  <si>
    <t>B8</t>
  </si>
  <si>
    <t>Долгосрочные инвестиции</t>
  </si>
  <si>
    <t>Long Term Investments</t>
  </si>
  <si>
    <t>B9</t>
  </si>
  <si>
    <t>Основные средства: Имущество и оборудование</t>
  </si>
  <si>
    <t>Fixed Assets: Property and Equipment Costs</t>
  </si>
  <si>
    <t>B10</t>
  </si>
  <si>
    <t>(Накопленный износ)</t>
  </si>
  <si>
    <t>(Accumulated Depreciation)</t>
  </si>
  <si>
    <t>B11</t>
  </si>
  <si>
    <t>B12</t>
  </si>
  <si>
    <t>B13</t>
  </si>
  <si>
    <t>ОБЯЗАТЕЛЬСТВА И СОБСТВЕННЫЕ СРЕДСТВА</t>
  </si>
  <si>
    <t>LIABILITIES AND NET WORTH</t>
  </si>
  <si>
    <t>ОБЯЗАТЕЛЬСТВА</t>
  </si>
  <si>
    <t>LIABILITIES</t>
  </si>
  <si>
    <t>В17</t>
  </si>
  <si>
    <t>В18</t>
  </si>
  <si>
    <t>В19</t>
  </si>
  <si>
    <t>В20</t>
  </si>
  <si>
    <t>КРЕДИТНЫЕ ОТНОШЕНИЯ / ДЕПОЗИТЫ И ДРУГИЕ ОБЯЗАТЕЛЬСТВА</t>
  </si>
  <si>
    <t>TABLE 3. DEPOSITS RECEIVED FROM INDIVIDUALS AND LEGAL ENTITIES. Attach additional sheet if more space is needed.</t>
  </si>
  <si>
    <t>Наименование вкладчика</t>
  </si>
  <si>
    <t>Сумма депозита</t>
  </si>
  <si>
    <t>Примечание</t>
  </si>
  <si>
    <t>Name of the saver</t>
  </si>
  <si>
    <t>Date deposit received</t>
  </si>
  <si>
    <t>Amount of the Deposit</t>
  </si>
  <si>
    <t>Notes</t>
  </si>
  <si>
    <t>ТАБЛИЦА 3. ДЕПОЗИТЫ ПОЛУЧЕННЫЕ ОТ ФИЗИЧЕСКИХ И/ИЛИ ЮРИДИЧЕСКИХ ЛИЦ. В случае необходимости, приложите дополнительный лист.</t>
  </si>
  <si>
    <t>Дата вложения депозита</t>
  </si>
  <si>
    <t>В21</t>
  </si>
  <si>
    <t>В22</t>
  </si>
  <si>
    <t>СОБСТВЕННЫЕ СРЕДСТВА</t>
  </si>
  <si>
    <t>NET WORTH/EQUITY</t>
  </si>
  <si>
    <t>В23</t>
  </si>
  <si>
    <t>В24</t>
  </si>
  <si>
    <t>В25</t>
  </si>
  <si>
    <t>В27</t>
  </si>
  <si>
    <t>В28</t>
  </si>
  <si>
    <t>Нераспред.прибыль/(убыток) прошлых лет</t>
  </si>
  <si>
    <t>В29</t>
  </si>
  <si>
    <t>Нераспред.прибыль/(убыток) текущего года</t>
  </si>
  <si>
    <t>В30</t>
  </si>
  <si>
    <t>В31</t>
  </si>
  <si>
    <t>INCOME STATEMENT</t>
  </si>
  <si>
    <t>ФИНАНСОВЫЙ ДОХОД</t>
  </si>
  <si>
    <t>FINANCIAL INCOME</t>
  </si>
  <si>
    <t>I1</t>
  </si>
  <si>
    <t>Проценты по займам</t>
  </si>
  <si>
    <t>Interest on Loans</t>
  </si>
  <si>
    <t>I2</t>
  </si>
  <si>
    <t>Проценты по инвестициям</t>
  </si>
  <si>
    <t>Interest on Investments</t>
  </si>
  <si>
    <t>I3</t>
  </si>
  <si>
    <t>Взносы по займам</t>
  </si>
  <si>
    <t>Loan Fees</t>
  </si>
  <si>
    <t>I4</t>
  </si>
  <si>
    <t>I5</t>
  </si>
  <si>
    <t>Сумма просроченных платежей по основной сумме</t>
  </si>
  <si>
    <t>Количество дней просрочки платежей по основной сумме</t>
  </si>
  <si>
    <t>Сумма просроченных платежей по начисленным процентам</t>
  </si>
  <si>
    <t>Количество дней просрочки платежей по начисленным процентам</t>
  </si>
  <si>
    <t>Остаток основной суммы кредита на отчетную дату</t>
  </si>
  <si>
    <t>Number of days principal installments are delinquent</t>
  </si>
  <si>
    <t>Delinquent amount of interest installments</t>
  </si>
  <si>
    <t>Delinquent amount of principal installments</t>
  </si>
  <si>
    <t>Number of days interest installments are delinquent</t>
  </si>
  <si>
    <t>Outstanding balance of the loan as of reporting date</t>
  </si>
  <si>
    <t>Итого финансовый доход (I1+I2+I3+I4)</t>
  </si>
  <si>
    <t>Total Financial Income (I1+I2+I3+I4)</t>
  </si>
  <si>
    <t>ФИНАНСОВЫЕ РАСХОДЫ</t>
  </si>
  <si>
    <t>FINANCIAL EXPENSES</t>
  </si>
  <si>
    <t>I6</t>
  </si>
  <si>
    <t>Interest on Debt</t>
  </si>
  <si>
    <t>I7</t>
  </si>
  <si>
    <t>Проценты по вкладам</t>
  </si>
  <si>
    <t>Interest Paid on Deposits</t>
  </si>
  <si>
    <t>I8</t>
  </si>
  <si>
    <t>I9</t>
  </si>
  <si>
    <t>Итого финансовые расходы (I6+I7+I8)</t>
  </si>
  <si>
    <t>Total Financial Costs  (I6+I7+I8)</t>
  </si>
  <si>
    <t>I10</t>
  </si>
  <si>
    <t>Валовая финансовая маржа (I5 - I9)</t>
  </si>
  <si>
    <t>Gross Financial Margin (I5 - I9)</t>
  </si>
  <si>
    <t>I11</t>
  </si>
  <si>
    <t>Изменение резерва под убытки (Провизия)</t>
  </si>
  <si>
    <t>Provision for Loan Losses</t>
  </si>
  <si>
    <t>I12</t>
  </si>
  <si>
    <t>Net Financial Margin (I8 - I9)</t>
  </si>
  <si>
    <t>ОПЕРАЦИОННЫЕ РАСХОДЫ</t>
  </si>
  <si>
    <t>OPERATING EXPENSES</t>
  </si>
  <si>
    <t>I13</t>
  </si>
  <si>
    <t>I14</t>
  </si>
  <si>
    <t>I15</t>
  </si>
  <si>
    <t>I16</t>
  </si>
  <si>
    <t>I17</t>
  </si>
  <si>
    <t>I18</t>
  </si>
  <si>
    <t>I19</t>
  </si>
  <si>
    <t>I20</t>
  </si>
  <si>
    <t>Tax for profit</t>
  </si>
  <si>
    <t>I21</t>
  </si>
  <si>
    <t>I22</t>
  </si>
  <si>
    <t>I23</t>
  </si>
  <si>
    <t>Начисленные проценты по кредитам</t>
  </si>
  <si>
    <t>Interests accrued on loans</t>
  </si>
  <si>
    <t>Итого портфель займов</t>
  </si>
  <si>
    <t>Gross Loans Outstanding</t>
  </si>
  <si>
    <t>I24</t>
  </si>
  <si>
    <t>Краткосрочные инвестиции/Депозитные счета</t>
  </si>
  <si>
    <t>Уставный капитал</t>
  </si>
  <si>
    <t xml:space="preserve">Резервы </t>
  </si>
  <si>
    <t>Reserves</t>
  </si>
  <si>
    <t>Other Equity Accounts</t>
  </si>
  <si>
    <t>Sustainability and Profitability</t>
  </si>
  <si>
    <t>Measures how well an MFI can cover its costs through operating revenues.  (Note that any taxes paid are excluded from this ratio.)</t>
  </si>
  <si>
    <t>Financial Revenue</t>
  </si>
  <si>
    <t>Financial Self-Sufficiency (FSS)</t>
  </si>
  <si>
    <t xml:space="preserve">Financial Revenue </t>
  </si>
  <si>
    <t xml:space="preserve">(Adjusted Financial Expense + Adjusted Impairment Losses on Loans + Adjusted Operating Expense)
</t>
  </si>
  <si>
    <t xml:space="preserve">Measures how well the MFI uses its assets to generate returns. This ratio is net of taxes and excludes non-operating items and donations.  </t>
  </si>
  <si>
    <t>Net Operating Income - Taxes</t>
  </si>
  <si>
    <t xml:space="preserve"> Average Assets
</t>
  </si>
  <si>
    <t>Adjusted Net Operating Income - Taxes</t>
  </si>
  <si>
    <t xml:space="preserve">Average Adjusted Assets
</t>
  </si>
  <si>
    <t>Calculates the rate of return on the Average Equity for the period. Because the numerator does not include non-operating items or donations and is net of taxes, the ratio is frequently used as a proxy for commercial viability.</t>
  </si>
  <si>
    <t>Average Equity</t>
  </si>
  <si>
    <t>Average Adjusted Equity</t>
  </si>
  <si>
    <t>Asset/Liability Management</t>
  </si>
  <si>
    <t>Indicates the MFI's ability to generate cash from interest, fees, and commissions on the Gross Loan Portfolio. It does not include any revenues that have been accrued but not paid in cash.
The data comes from the Direct Cash Flow.  If that Cash Flow is not used, then the figure is drawn from the Income Statement.</t>
  </si>
  <si>
    <t>Cash Received from Interest, Fees and Commissions on Loan Portfolio</t>
  </si>
  <si>
    <t>Average Gross Loan Portfolio</t>
  </si>
  <si>
    <t>Portfolio to Assets</t>
  </si>
  <si>
    <t xml:space="preserve">Measures the MFI's allocation of assets to its lending activity. Indicates management's ability to allocate resources to the MFI's primary and most profitable activity, namely making microloans. </t>
  </si>
  <si>
    <t>Gross Loan Portfolio</t>
  </si>
  <si>
    <t>Assets</t>
  </si>
  <si>
    <t xml:space="preserve">Calculates a blended interest rate for all of the MFI's funding liabilities. </t>
  </si>
  <si>
    <t>Financial Expenses on Funding Liabilities</t>
  </si>
  <si>
    <t>(Average Deposits + Average Borrowings)</t>
  </si>
  <si>
    <t>Adjusted Financial Expenses on Funding Liabilities</t>
  </si>
  <si>
    <t>Debt to Equity</t>
  </si>
  <si>
    <t xml:space="preserve">Measures the overall leverage of an institution and how much cushion it has to absorb losses after all liabilities are paid. </t>
  </si>
  <si>
    <t>Liabilities</t>
  </si>
  <si>
    <t>Equity</t>
  </si>
  <si>
    <t>Adjusted Debt to Equity</t>
  </si>
  <si>
    <t>Adjusted Equity</t>
  </si>
  <si>
    <t>Liquid Ratio</t>
  </si>
  <si>
    <t>Adjustments for subsidized cost of funds</t>
  </si>
  <si>
    <t>&gt;100%</t>
  </si>
  <si>
    <t>Interest rate</t>
  </si>
  <si>
    <t>Date</t>
  </si>
  <si>
    <t>Number of loans</t>
  </si>
  <si>
    <t>more than USD 10000</t>
  </si>
  <si>
    <t>Дата выдачи</t>
  </si>
  <si>
    <t>Дата погашения</t>
  </si>
  <si>
    <t>Name</t>
  </si>
  <si>
    <t>Date of repayment</t>
  </si>
  <si>
    <t>Number of borrowers</t>
  </si>
  <si>
    <t>ПРОГНОЗ</t>
  </si>
  <si>
    <t>KG Som</t>
  </si>
  <si>
    <t>US Dollar</t>
  </si>
  <si>
    <t>TJ Somoni</t>
  </si>
  <si>
    <t>KZ Tenge</t>
  </si>
  <si>
    <t>&gt;80%</t>
  </si>
  <si>
    <t>&gt;200</t>
  </si>
  <si>
    <t>&gt;100</t>
  </si>
  <si>
    <t>Amount</t>
  </si>
  <si>
    <t xml:space="preserve">   Individual Lending</t>
  </si>
  <si>
    <t xml:space="preserve">   Group Lending</t>
  </si>
  <si>
    <t xml:space="preserve">   Other Type of Lending</t>
  </si>
  <si>
    <t>TOTAL</t>
  </si>
  <si>
    <t xml:space="preserve">   Livestock</t>
  </si>
  <si>
    <t xml:space="preserve">       Manufacturing</t>
  </si>
  <si>
    <t xml:space="preserve">   Mortgage</t>
  </si>
  <si>
    <t>Благодарим Вас за рассмотрение программы кредитования ОсОО МКК «Фронтиэрс». Пожалуйста, удостоверьтесь в том, что Вы приложили все ниже перечисленные документы перед тем, как подписать  заявку и представить её на рассмотрение ОсОО МКК «Фронтиэрс».</t>
  </si>
  <si>
    <t>Информация о сотруднике, ответственном за заполнение заявки и ведение переговоров</t>
  </si>
  <si>
    <t xml:space="preserve">*Примите во внимание: (1) Стоимость залогового обеспечения должна быть, как минимум, равной сумме кредита; (2) Ожидаемый срок службы предмета залога будет определен ОсОО МКК “Фронтиэрс” в процессе оценки залога; (3) Возможно потребуется официальная оценка залогового обеспечения; (4) Предоставленное имущество не должно быть заложено и не должно быть под арестом. </t>
  </si>
  <si>
    <t>10. Назначены ли действующие должностные лица в соответствии с Уставом организации?</t>
  </si>
  <si>
    <t>10. Were current authorized persons of your organization appointed according to the Charter of your organization?</t>
  </si>
  <si>
    <t>Информация о полученных кредитах и других обязательствах по состоянию на последнюю отченую дату:</t>
  </si>
  <si>
    <t xml:space="preserve">   Consumption loans</t>
  </si>
  <si>
    <t xml:space="preserve">   Services</t>
  </si>
  <si>
    <t xml:space="preserve">   Other</t>
  </si>
  <si>
    <t xml:space="preserve">            Копия кредитной и учетной политики, а также соответствующих к нему процедур;</t>
  </si>
  <si>
    <t xml:space="preserve">            Копия Устава, Свидетельство Министерства Юстиции о государственной регистрации юридического лица </t>
  </si>
  <si>
    <t xml:space="preserve">           (можно не заверенную нотариально копию);</t>
  </si>
  <si>
    <t xml:space="preserve">            в том числе кредитных (Лицензия, Свидетельство от Национального Банка и т.д.); </t>
  </si>
  <si>
    <t xml:space="preserve">            Копия разрешительного документа от соответствующего государственного органа на проведение финансовых операций, </t>
  </si>
  <si>
    <t xml:space="preserve">            Справка о наличии либо отсутствии задолженности перед налоговыми органами;</t>
  </si>
  <si>
    <t xml:space="preserve">            Копия паспорта лица, имеющего право распоряжаться банковским счетом;</t>
  </si>
  <si>
    <t xml:space="preserve">            Copy of accounting and lending policies as well as corresponding procedures to these policies;</t>
  </si>
  <si>
    <t xml:space="preserve">             Copy of Charter, Certificate/License from the Ministry of Justice about state registration of legal entity </t>
  </si>
  <si>
    <t>Депозиты до востребования</t>
  </si>
  <si>
    <t>Краткосрочные депозиты</t>
  </si>
  <si>
    <t>Short Term Deposits</t>
  </si>
  <si>
    <t>Demand Deposits</t>
  </si>
  <si>
    <t>Проценты к оплате по фин.обязательствам</t>
  </si>
  <si>
    <t>Interests accrued on Funding Liabilities</t>
  </si>
  <si>
    <t>Долгосрочные депозиты</t>
  </si>
  <si>
    <t>Долгосрочные займы</t>
  </si>
  <si>
    <t>Long Term Deposits</t>
  </si>
  <si>
    <t>Long Term Debt</t>
  </si>
  <si>
    <t xml:space="preserve">Прочие долгосрочные обязательства </t>
  </si>
  <si>
    <t>Other Long Term Liabilities</t>
  </si>
  <si>
    <t>Гранты в собственном капитале:</t>
  </si>
  <si>
    <t>Donated Equity:</t>
  </si>
  <si>
    <t>Предыдущие годы</t>
  </si>
  <si>
    <t>Prior Years</t>
  </si>
  <si>
    <t>Текущего года</t>
  </si>
  <si>
    <t>Current Year</t>
  </si>
  <si>
    <t xml:space="preserve">             (you may provide not notarized copy);</t>
  </si>
  <si>
    <t xml:space="preserve">             Copy of the document from relevant state body that authorizes MFI to provide financial operations, including lending </t>
  </si>
  <si>
    <t xml:space="preserve">             (Certificate/License from National Bank etc.);</t>
  </si>
  <si>
    <t xml:space="preserve">            Reference from tax bodies about existence or non existence of liabilities to tax bodies; </t>
  </si>
  <si>
    <t xml:space="preserve">            Passport copy of a person who has authority to manage bank account;  </t>
  </si>
  <si>
    <t xml:space="preserve">           Ф.И.О., Должность</t>
  </si>
  <si>
    <t xml:space="preserve">ТАБЛИЦА 1. Предоставьте, пожалуйста, информацию о кредитной истории Вашей организации, включая действующие займы, полученные у других Кредиторов, а также погашенные займы, векселя и закладные, подлежащие оплате. Приложите официальный документ от Кредитора, подтверждающий вашу кредитную историю.  </t>
  </si>
  <si>
    <t>CREDIT HISTORY/RELATIONSHIPS</t>
  </si>
  <si>
    <t>less or equal to USD 500</t>
  </si>
  <si>
    <t xml:space="preserve">USD 501 - USD 1000 </t>
  </si>
  <si>
    <t>USD 1001 - USD 5000</t>
  </si>
  <si>
    <t>USD 5001 - USD 10000</t>
  </si>
  <si>
    <t>less than 3 months</t>
  </si>
  <si>
    <t>from 3-6 months</t>
  </si>
  <si>
    <t>from 6-12 months</t>
  </si>
  <si>
    <t>from 12-24 months</t>
  </si>
  <si>
    <t>Aging/Status of loan portfolio</t>
  </si>
  <si>
    <t>Current loan portfolio, on-time (outstanding balance not affected by delinquencies)</t>
  </si>
  <si>
    <t>Loan portfolio balance affected by overdue payments of interests and/or principals</t>
  </si>
  <si>
    <t>1 - 30 days</t>
  </si>
  <si>
    <t>31 - 90 days</t>
  </si>
  <si>
    <t>91 - 180 days</t>
  </si>
  <si>
    <t>181 - 360 days</t>
  </si>
  <si>
    <t>more than 360 days</t>
  </si>
  <si>
    <t>All renegotiated loans</t>
  </si>
  <si>
    <t>Maximum loan amount disbursed</t>
  </si>
  <si>
    <t>Minimum loan amount disbursed</t>
  </si>
  <si>
    <t>of which loan officers</t>
  </si>
  <si>
    <t>Share (amount)</t>
  </si>
  <si>
    <t>&gt; 5%</t>
  </si>
  <si>
    <t>Maturity risk arises when there is a mismatch between amounts of allocated assets and liabilities which are due at specified period</t>
  </si>
  <si>
    <t>Interest rate risk arises when there is a mismatch between positions, which are subject to interest rate adjustment within a specified period</t>
  </si>
  <si>
    <t>Foreign exchange risk is the current or prospective risk to high losses from adverse movements in currency exchange rates. It refers to the impact of adverse movement in currency exchange rates on the value of open foreign currency position</t>
  </si>
  <si>
    <t>Fields color definitions</t>
  </si>
  <si>
    <t>Цветовые обозначения полей</t>
  </si>
  <si>
    <t>Data should be input manually</t>
  </si>
  <si>
    <t>Данные должны быть введены в ручную</t>
  </si>
  <si>
    <t>Yield on Gross Portfolio (nominal)</t>
  </si>
  <si>
    <t>Доходность кредитного портфеля (номинальная)</t>
  </si>
  <si>
    <t>Interest Accrued, Fees and Commissions on Loan Portfolio</t>
  </si>
  <si>
    <t>Yield on Gross Portfolio (real)</t>
  </si>
  <si>
    <t>Доходность кредитного портфеля (реальная)</t>
  </si>
  <si>
    <t>Проценты по займам + Взносы по займам полученные</t>
  </si>
  <si>
    <t>Проценты по займам + Взносы по займам начисленные</t>
  </si>
  <si>
    <t>Дополнительный РППУ на сумму</t>
  </si>
  <si>
    <t>Additional Reserves in the Amount</t>
  </si>
  <si>
    <t>Operational Self-Sufficiency (OSS) with donations</t>
  </si>
  <si>
    <t>Операционная Самоокупаемость с учетом грантов</t>
  </si>
  <si>
    <t>Financial Revenue + Grants</t>
  </si>
  <si>
    <t>Финансовый доход + Гранты</t>
  </si>
  <si>
    <t>Соотношение кредитов + депозитов к капиталу</t>
  </si>
  <si>
    <t>Loans + Deposits to Equity</t>
  </si>
  <si>
    <t>External Borrowings + Deposits</t>
  </si>
  <si>
    <t>Сумма внешних займов + депозитов</t>
  </si>
  <si>
    <t>more than 36 months</t>
  </si>
  <si>
    <t>более 36 месяцев</t>
  </si>
  <si>
    <t>from 24-36 months</t>
  </si>
  <si>
    <t>от 24-36 месяцев</t>
  </si>
  <si>
    <t xml:space="preserve"> IV. Объем кредитного портфеля в разрезе размеров кредитов (эквивалент в нац. валюте):</t>
  </si>
  <si>
    <t xml:space="preserve"> IV. Outstanding Loan Portfolio: break down by loan sizes (equivalent in national currency)</t>
  </si>
  <si>
    <t>VI. Объем кредитного портфеля в разрезе обеспечения</t>
  </si>
  <si>
    <t>VI. Outstanding Loan Portfolio: break down by types of security</t>
  </si>
  <si>
    <t>Loans secured by immovable property</t>
  </si>
  <si>
    <t>Loans secured by movable property</t>
  </si>
  <si>
    <t>Loans secured by guarantee</t>
  </si>
  <si>
    <t>Loans without collateral</t>
  </si>
  <si>
    <t>Кредиты под залог недвижимости</t>
  </si>
  <si>
    <t>Кредиты под залог движимого имущества</t>
  </si>
  <si>
    <t>Кредиты под залог гарантий/поручительств</t>
  </si>
  <si>
    <t>Беззалоговые кредиты</t>
  </si>
  <si>
    <t>КРЕДИТНАЯ ЗАЯВКА</t>
  </si>
  <si>
    <t>ИНФОРМАЦИЯ ОБ ОРГАНИЗАЦИИ</t>
  </si>
  <si>
    <t xml:space="preserve">Юридическое название организации: </t>
  </si>
  <si>
    <t>Юридический адрес:</t>
  </si>
  <si>
    <t>Текущий адрес:</t>
  </si>
  <si>
    <t>Налоговый номер (ИНН):</t>
  </si>
  <si>
    <t>Наименование органа регистрации:</t>
  </si>
  <si>
    <t>Регистрационный номер:</t>
  </si>
  <si>
    <t>Телефон:</t>
  </si>
  <si>
    <t>Факс:</t>
  </si>
  <si>
    <t>Почтовый индекс:</t>
  </si>
  <si>
    <t>ДОЛЕВОЕ РАСПРЕДЕЛЕНИЕ СОБСТВЕННОСТИ</t>
  </si>
  <si>
    <t>Ф.И.О / Наименование учредителей</t>
  </si>
  <si>
    <t xml:space="preserve">Должность/область деятельности </t>
  </si>
  <si>
    <t>Дата внесения капитала</t>
  </si>
  <si>
    <t>Сумма вклада капитала</t>
  </si>
  <si>
    <t>Адрес</t>
  </si>
  <si>
    <t>Итого:</t>
  </si>
  <si>
    <t>Х</t>
  </si>
  <si>
    <t>СПИСОК ФИЛИАЛОВ</t>
  </si>
  <si>
    <t>Месторасположение</t>
  </si>
  <si>
    <t>Дата основания/открытия</t>
  </si>
  <si>
    <t>Коммерческая</t>
  </si>
  <si>
    <t>ИНФОРМАЦИЯ О БАНКОВСКИХ РЕКВИЗИТАХ ОРГАНИЗАЦИИ</t>
  </si>
  <si>
    <t>Количество сотрудников всего</t>
  </si>
  <si>
    <t>В том числе количество кредитных служащих</t>
  </si>
  <si>
    <t>Русский</t>
  </si>
  <si>
    <t>EURO</t>
  </si>
  <si>
    <t>Микрокредитная компания</t>
  </si>
  <si>
    <t>Микрокредитное агентство</t>
  </si>
  <si>
    <t>Микрофинансовая компания</t>
  </si>
  <si>
    <t>Микрозаемная организация</t>
  </si>
  <si>
    <t>Микродепозитная организация</t>
  </si>
  <si>
    <t>Коммерческий банк</t>
  </si>
  <si>
    <t>Другое</t>
  </si>
  <si>
    <t>Microlending Agency</t>
  </si>
  <si>
    <t>Microfinance Company</t>
  </si>
  <si>
    <t>Microlending Organization</t>
  </si>
  <si>
    <t>Microdeposit Organization</t>
  </si>
  <si>
    <t>Commercial Bank</t>
  </si>
  <si>
    <t>Other</t>
  </si>
  <si>
    <t>For Profit</t>
  </si>
  <si>
    <t>Non-Profit</t>
  </si>
  <si>
    <t>Не коммерческая</t>
  </si>
  <si>
    <t>LOAN APPLICATION</t>
  </si>
  <si>
    <t xml:space="preserve">Thank you for considering MLC “Frontiers” Credit Program to meet your institutions financial needs. Please make sure that you have attached all listed below documents before signing and sending the application to MLC “Frontiers”.  </t>
  </si>
  <si>
    <t>INFORMATION ABOUT THE ORGANIZATION</t>
  </si>
  <si>
    <t>Код ОКПО*:</t>
  </si>
  <si>
    <t>Legal name of the organization:</t>
  </si>
  <si>
    <t>Registered address:</t>
  </si>
  <si>
    <t>Title of registration body:</t>
  </si>
  <si>
    <t>Registration No:</t>
  </si>
  <si>
    <t>Telephone:</t>
  </si>
  <si>
    <t>Postal code:</t>
  </si>
  <si>
    <t>Information about the Chairman of the organization:</t>
  </si>
  <si>
    <t>Должность:</t>
  </si>
  <si>
    <t>Name:</t>
  </si>
  <si>
    <t>Credit Union</t>
  </si>
  <si>
    <t>Кредитный Союз</t>
  </si>
  <si>
    <t>Yes</t>
  </si>
  <si>
    <t>Да</t>
  </si>
  <si>
    <t>Position:</t>
  </si>
  <si>
    <t>Current address:</t>
  </si>
  <si>
    <t>Organization status:</t>
  </si>
  <si>
    <t>Tax ID:</t>
  </si>
  <si>
    <t>State certificate code*:</t>
  </si>
  <si>
    <t>Fax:</t>
  </si>
  <si>
    <t>Information about the person authorized to fill out loan application and lead negotiation with MLC “Frontiers”</t>
  </si>
  <si>
    <t>Date established (dd/mm/year):</t>
  </si>
  <si>
    <t>*Заполняется клиентами из Кыргызстана</t>
  </si>
  <si>
    <t>*Shall be filled out by clients from Kyrgyzstan</t>
  </si>
  <si>
    <t>Тип организации</t>
  </si>
  <si>
    <t>Type of the company:</t>
  </si>
  <si>
    <t xml:space="preserve">Вид организации: </t>
  </si>
  <si>
    <t>OWNERSHIP DISTRIBUTION</t>
  </si>
  <si>
    <t>Title / Occupation</t>
  </si>
  <si>
    <t>Date of Capital inflow</t>
  </si>
  <si>
    <t>Amount of Capital</t>
  </si>
  <si>
    <t>Address</t>
  </si>
  <si>
    <t>Name of the Founder</t>
  </si>
  <si>
    <t>X</t>
  </si>
  <si>
    <t>Валюта</t>
  </si>
  <si>
    <t>Currency</t>
  </si>
  <si>
    <t>Total:</t>
  </si>
  <si>
    <t>LIST OF BRANCHES/SUB-OFFICES:</t>
  </si>
  <si>
    <t>Location</t>
  </si>
  <si>
    <t>Date established</t>
  </si>
  <si>
    <t>IINFORMATION ABOUT BANK ACCOUNTS</t>
  </si>
  <si>
    <t xml:space="preserve">Please list bank accounts used by your organization where Frontiers will transfer loan proceeds in case of positive Credit Committee decision regarding your loan application.  </t>
  </si>
  <si>
    <t>Bank name:</t>
  </si>
  <si>
    <t>Bank’s address:</t>
  </si>
  <si>
    <t>Bank account No:</t>
  </si>
  <si>
    <t>BIK (SWIFT):</t>
  </si>
  <si>
    <t>Bank – Correspondent name:</t>
  </si>
  <si>
    <t>SWIFT  of bank-correspondent:</t>
  </si>
  <si>
    <t>Correspondent account of bank - correspondent:</t>
  </si>
  <si>
    <t>Name of a person who has an authority for first signature in the organization and to manage bank account:</t>
  </si>
  <si>
    <t xml:space="preserve">Passport data of a person who has an authority for first signature in the organization (passport No, date and place of issue): </t>
  </si>
  <si>
    <t>Note for Kyrgyz Republic citizens: please indicate type of passport, for example, type of passport issued in 1994, 2004, ID-card (internal passport)</t>
  </si>
  <si>
    <t xml:space="preserve">Паспортные данные лица, имеющего право первой подписи в организации (номер паспорта, кем и когда выдан): </t>
  </si>
  <si>
    <t>Прим. для граждан Кыргызской Республики: укажите, пожалуйста, образец паспорта, например паспорт образца 1994 года, 2004 года, ID-карта (внутренний паспорт)</t>
  </si>
  <si>
    <t>LOAN REQUEST SUMMARY</t>
  </si>
  <si>
    <t>Collateral available</t>
  </si>
  <si>
    <t>Notes on collateral</t>
  </si>
  <si>
    <t xml:space="preserve">           Прочий вид залогового обеспечения:</t>
  </si>
  <si>
    <t xml:space="preserve">             Loan Portfolio</t>
  </si>
  <si>
    <t xml:space="preserve">             Cash on deposit accounts</t>
  </si>
  <si>
    <t xml:space="preserve">             Guarantee</t>
  </si>
  <si>
    <t xml:space="preserve">             Immovable property (please, provide information below)</t>
  </si>
  <si>
    <t xml:space="preserve">             Description of immovable property:</t>
  </si>
  <si>
    <t xml:space="preserve">             Address:</t>
  </si>
  <si>
    <t xml:space="preserve">             Approximate market value:</t>
  </si>
  <si>
    <t xml:space="preserve">             Name of the owner: </t>
  </si>
  <si>
    <t xml:space="preserve">             Relationship of owner to the organization:</t>
  </si>
  <si>
    <t xml:space="preserve">             Other type of collateral:</t>
  </si>
  <si>
    <t xml:space="preserve">             Additional terms and conditions requested</t>
  </si>
  <si>
    <t>*NOTE (1) the value of the collateral must be at least equal to the amount of the loan, (2) expected economic life of collateral will be considered by MLC “Frontiers” in evaluating the collateral offered for the loan, (3) formal collateral appraisals may be required, and (4) the collateral provided should not be encumbered by liens or attachments of any type.</t>
  </si>
  <si>
    <t>OTHER</t>
  </si>
  <si>
    <t>1. Since the Institution was established, has it ever been engaged in or threatened with litigation as a respondent? If “yes”, please attach a short explanation of this litigation and describe its resolution.</t>
  </si>
  <si>
    <t>2. Since the Institution was established, has it ever been engaged in or threatened with investigations by any government authority?</t>
  </si>
  <si>
    <t>3. Has the institution ever received funds from any government entity?</t>
  </si>
  <si>
    <t>4. Does the Institution have any representative from the government on the Board or staff?</t>
  </si>
  <si>
    <t>5. How long has the General Manager/Director been in his/her current position?</t>
  </si>
  <si>
    <t>6. How many total years of experience does the current General Manager/Director have working in a financial and/or lending sector?</t>
  </si>
  <si>
    <t>Размер требуемого кредита:</t>
  </si>
  <si>
    <t>Requested loan amount:</t>
  </si>
  <si>
    <t>Цель кредита:</t>
  </si>
  <si>
    <t>Loan purpose:</t>
  </si>
  <si>
    <t>8. Is your organization an endorser, guarantor, or co-maker for any obligation not listed in the financial statements? If “yes”, what is the contingent liability?</t>
  </si>
  <si>
    <t>7. Are all tax liabilities closed? If no, please explain.</t>
  </si>
  <si>
    <t>9. Are any of the business assets encumbered by liens or attachments of any type? If "yes" attach a separate sheet with detailed description.</t>
  </si>
  <si>
    <t>No</t>
  </si>
  <si>
    <t xml:space="preserve">   Yes</t>
  </si>
  <si>
    <t>CERTIFICATION</t>
  </si>
  <si>
    <t>Проводилась ли рейтинговая оценка за период указанный слева?</t>
  </si>
  <si>
    <t>Has your company undergone rating/assessment for the period indicated in the left?</t>
  </si>
  <si>
    <t>Структура активов</t>
  </si>
  <si>
    <t>Name, Title</t>
  </si>
  <si>
    <t>Signature, Corporate Seal</t>
  </si>
  <si>
    <t>LOAN APPLICATION CHECKLIST</t>
  </si>
  <si>
    <t xml:space="preserve">Укажите, пожалуйста, банковские реквизиты, которыми пользуется Ваша организация, куда будут перечислены денежные средства по кредиту от ОсОО «МКК «Фронтиэрс», в случае положительного решения Кредитного Комитета относительно Вашей заявки на кредит. </t>
  </si>
  <si>
    <t>Наименование Банка:</t>
  </si>
  <si>
    <t>Адрес Банка:</t>
  </si>
  <si>
    <t>Номер банковского счета:</t>
  </si>
  <si>
    <t>БИК (SWIFT):</t>
  </si>
  <si>
    <t>Наименование банка-корреспондента:</t>
  </si>
  <si>
    <t>SWIFT  банка-корреспондента:</t>
  </si>
  <si>
    <t>Корреспондентский счет банка-корреспондента:</t>
  </si>
  <si>
    <t>ФИО лица, имеющего право первой подписи в организации, а также право распоряжаться банковским счетом:</t>
  </si>
  <si>
    <t>Информация о руководителе организации</t>
  </si>
  <si>
    <t>Ф.И.О.</t>
  </si>
  <si>
    <t xml:space="preserve">Предлагаемое залоговое обеспечение* </t>
  </si>
  <si>
    <t xml:space="preserve">             Кредитный портфель</t>
  </si>
  <si>
    <t xml:space="preserve">             Наличные средства на депозитных счетах</t>
  </si>
  <si>
    <t>Примечания по залоговому обеспечению</t>
  </si>
  <si>
    <t xml:space="preserve">            Гарантии и/или поручительства</t>
  </si>
  <si>
    <t xml:space="preserve">            Недвижимость (предоставьте ниже информацию)</t>
  </si>
  <si>
    <t xml:space="preserve">            Описание недвижимости: </t>
  </si>
  <si>
    <t xml:space="preserve">            Адрес недвижимости: </t>
  </si>
  <si>
    <t xml:space="preserve">           Ф.И.О. собственника недвижимости:</t>
  </si>
  <si>
    <t xml:space="preserve">            Примерная рыночная стоимость:</t>
  </si>
  <si>
    <t xml:space="preserve">           Отношение собственника недвижимости к ФО:</t>
  </si>
  <si>
    <t>Нет</t>
  </si>
  <si>
    <t>ПРОЧЕЕ</t>
  </si>
  <si>
    <t>Заемщик</t>
  </si>
  <si>
    <t>Эффективная процентная ставка</t>
  </si>
  <si>
    <t>Срок кредита (месяцев)</t>
  </si>
  <si>
    <t>Дата выдачи кредита</t>
  </si>
  <si>
    <t>Дата первого платежа по кредиту (OC/%)</t>
  </si>
  <si>
    <t>Выдача основной суммы</t>
  </si>
  <si>
    <t>Начисленные проценты</t>
  </si>
  <si>
    <t>Проценты к уплате</t>
  </si>
  <si>
    <t>Погашение основной суммы</t>
  </si>
  <si>
    <t>Потоки</t>
  </si>
  <si>
    <t>Остаток основной суммы</t>
  </si>
  <si>
    <t>Дата подачи заявки во Фронтиэрс:</t>
  </si>
  <si>
    <t>VII. Outstanding Loan Portfolio: break down by branches</t>
  </si>
  <si>
    <t>VII. Объем кредитного портфеля в разрезе филиалов</t>
  </si>
  <si>
    <t>VIII. Portfolio Quality Analysis</t>
  </si>
  <si>
    <t>VIII. Анализ качества кредитного портфеля</t>
  </si>
  <si>
    <t xml:space="preserve">IX. Other information </t>
  </si>
  <si>
    <t xml:space="preserve">IX. Другая информация </t>
  </si>
  <si>
    <t>Оптимально</t>
  </si>
  <si>
    <t>Benchmark</t>
  </si>
  <si>
    <t xml:space="preserve">           Копия статистической карточки (если имеется);</t>
  </si>
  <si>
    <t xml:space="preserve">            Нотариально заверенные карточки с образцами подписей лиц, имеющих право подписи (должны обновляться</t>
  </si>
  <si>
    <t xml:space="preserve">            в случае смены руководства); </t>
  </si>
  <si>
    <t xml:space="preserve">           Копия регистрационной карточки, выданной налоговым органом;</t>
  </si>
  <si>
    <t xml:space="preserve">            Notarized copy of the card with signature sample of the person, who has authority to put signatures (should </t>
  </si>
  <si>
    <t xml:space="preserve">            be updated in case of changes in management);</t>
  </si>
  <si>
    <t xml:space="preserve">            A copy of statistical card (if available);</t>
  </si>
  <si>
    <t xml:space="preserve">            A copy of registration card issued by the tax authority;</t>
  </si>
  <si>
    <t>Перечень прав, расходов (платежей) клиентов ОсОО "МКК "Фронтиэрс" и штрафных санкций </t>
  </si>
  <si>
    <t>Права клиента ОсОО "МКК "Фронтиэрс"</t>
  </si>
  <si>
    <t>Отказаться на безвозмездной основе от получения кредита с момента подписания кредитного договора до получения денежных средств или осуществления платежа в оплату за имущество по лизингу по договору </t>
  </si>
  <si>
    <t>Получить на руки проект кредитного договора со всеми прилагаемыми к нему документами и обратиться за юридической консультацией за пределами ОсОО "МКК "Фронтиэрс", при этом время, предоставляемое клиенту на ознакомление с кредитным договором должно быть не менее одного дня, но не более трех дней </t>
  </si>
  <si>
    <t>Получить разъяснения по порядку расчетов платежей по кредиту, пени, штрафных санкций </t>
  </si>
  <si>
    <t>Выбрать язык (государственный или официальный), на котором будет составлен (оформлен) кредитный договор и настоящий перечень </t>
  </si>
  <si>
    <t>Досрочно погасить задолженность по кредиту в полном объеме либо частично при условии предварительного уведомления  ОсОО "МКК "Фронтиэрс" не менее чем за тридцать дней до дня такого возврата </t>
  </si>
  <si>
    <t xml:space="preserve">Обратиться к сотрудникам ОсОО "МКК "Фронтиэрс" за предоставлением разъяснений и консультаций по раскрытию следующей информации: 
- об условиях предоставления кредитов, включая информацию о полной стоимости кредитного продукта, на государственном и/или официальном языке по выбору клиента; 
- об условиях кредитного договора, включая ответственность, обязанности заемщика, в том числе за предоставление недостоверной информации о своем финансовом состоянии; а также о рисках, связанных с получением кредита и нарушениями условий кредитного договора, предоставлением залогового обеспечения, и ответственности, связанной с дачей поручительства,  
- о возможности и порядке изменения условий кредитного договора; 
- о перечне и размере всех платежей, связанных с получением, обслуживанием и возвратом кредита </t>
  </si>
  <si>
    <t xml:space="preserve">В случае если более 50 процентов от основной суммы кредита погашено, предоставить взамен имеющегося залога другой залог, стоимость которого покрывает оставшуюся сумму задолженности по кредиту, в соответствии с требованиями внутренних документов ОсОО "МКК "Фронтиэрс" и при согласии ОсОО "МКК "Фронтиэрс". </t>
  </si>
  <si>
    <t>Расходы (платежи) клиента  ОсОО "МКК "Фронтиэрс" по кредиту </t>
  </si>
  <si>
    <t>Сумма кредита </t>
  </si>
  <si>
    <t>Указывается в кредитном договоре </t>
  </si>
  <si>
    <t>Процентные платежи по кредиту </t>
  </si>
  <si>
    <t>Комиссия за рассмотрение заявки (оформление кредита) </t>
  </si>
  <si>
    <t>Комиссия за выдачу и администрирование кредита </t>
  </si>
  <si>
    <t>Комиссия за открытие (если открытие счета обусловлено заключением кредитного договора) и обслуживание (если операции по кредиту проводятся в безналичной форме) ссудного и/или текущего счетов </t>
  </si>
  <si>
    <t>Комиссия за расчетно-кассовое обслуживание (в том числе внесение и получение клиентом наличных денег через банкомат)  </t>
  </si>
  <si>
    <t>Платежи в пользу третьих лиц (плата за услуги страхования, нотариуса и др.)  </t>
  </si>
  <si>
    <t>Плата за предоставление выписок со счетов заемщика  </t>
  </si>
  <si>
    <t>Другие расходы </t>
  </si>
  <si>
    <t>Штрафные санкции и пени  ОсОО "МКК "Фронтиэрс" </t>
  </si>
  <si>
    <t>За просрочку оплаты платежей по основной сумме долга и по процентам </t>
  </si>
  <si>
    <t>Условия расторжения кредитного договора после получения денежных средств </t>
  </si>
  <si>
    <t xml:space="preserve">                                                                                                          Уважаемый заемщик ОсОО "МКК "Фронтиэрс"! 
В случае одобрения Вашей кредитной заявки, в целях полного понимания прав и ответственности при использовании кредита от нашей компании, просим Вас ознакомиться с данной "Памяткой заемщика". Если у Вас возникнут дополнительные вопросы, то сотрудники "Фронтиэрс" будут рады ответить на них.  </t>
  </si>
  <si>
    <t>Основная сумма кредита</t>
  </si>
  <si>
    <t>Плата за предоставление кредита</t>
  </si>
  <si>
    <t>Процентная ставка (годовых)</t>
  </si>
  <si>
    <t>Итого</t>
  </si>
  <si>
    <t>День</t>
  </si>
  <si>
    <t>месяц</t>
  </si>
  <si>
    <t>Наименование праздника</t>
  </si>
  <si>
    <t>Код</t>
  </si>
  <si>
    <t>Повтор</t>
  </si>
  <si>
    <t>Новый год</t>
  </si>
  <si>
    <t>Рождество Христово</t>
  </si>
  <si>
    <t>День защитника Отечества</t>
  </si>
  <si>
    <t>Нооруз</t>
  </si>
  <si>
    <t>Праздник труда</t>
  </si>
  <si>
    <t>День Конституции Кыргызской Республики</t>
  </si>
  <si>
    <t>День Победы</t>
  </si>
  <si>
    <t>День независимости Кыргызстана</t>
  </si>
  <si>
    <t>День Великой Октябрьской социалистической революции</t>
  </si>
  <si>
    <t>СВЕДЕНИЯ ОБ ОРГАНАХ ЮРИДИЧЕСКОГО ЛИЦА (структура и персональный состав органов управления):</t>
  </si>
  <si>
    <t>Наименование органа управления</t>
  </si>
  <si>
    <t>Ф.И.О. членов органа управления</t>
  </si>
  <si>
    <t>Паспортные данные</t>
  </si>
  <si>
    <t>Остаток списанных кредитов на отчетную дату</t>
  </si>
  <si>
    <t>Balance of written off loans</t>
  </si>
  <si>
    <t>Нижеподписавшийся настоящим согласен на предоставление и/или получение  ОсОО МКК "Фронтиэрс" любых  сведений об организации, в том числе информации о руководителе в/из ОЮЛ АФКУ «Кредитно-информационное бюро «Ишеним», осуществляющее формирование кредитных историй и их обмен между  финансово-кредитными учреждениями и иными юридическими лицами, в целях снижения кредитных рисков, недопущения перезадолженности и упрощения процедуры рассмотрения и предоставления кредита.</t>
  </si>
  <si>
    <t xml:space="preserve">Нижеподписавшийся настоящим подтверждает, что вся информация и сведения, включенные в это заявление и приложенные документы верны, полны и точны. Нижеподписавшийся согласен немедленно известить ОсОО МКК «Фронтиэрс» обо всех существенных изменениях в данной информации. Нижеподписавшийся также уполномочивает ОсОО МКК «Фронтиэрс», при необходимости, ознакомиться с деятельностью заявителя на месте, запрашивать данные о Заявителе у любого государственного, коммерческого или другого юридического лица без предварительного уведомления Заявителя.   </t>
  </si>
  <si>
    <t>The undersigned certifies that, to the best of his or her knowledge and belief, all information contained in this loan application and in the accompanying statements and documents is true, complete, and correct.  The undersigned agrees to notify MLC “Frontiers” immediately of any material changes in this information.  The undersigned authorizes MLC “Frontiers”, if necessary, to get acquainted with applicant’s working process on-site, to inquire about the Borrower from any governmental, commercial or other legal entity if deems necessary without further notice.</t>
  </si>
  <si>
    <t xml:space="preserve">The undersigned provides its consent for MLC "Frontiers" LLC to provide and/or receive any information about the applicant including the information about its chairperson to/from SLE AFCU "Kredinto-informacionnoe buro "Ishenim" (Credit Bureau "Ishenim") which accumulates credit histories and exchanges between finance-credit institutions and other types of legal entities in order to decrease credit risks, avoid overidebtness and simplify credit application review and its disbursement. </t>
  </si>
  <si>
    <t xml:space="preserve">            Анкета клиента по ПФТ/ОД (подается при первичном обращении за кредитом и далее по мере необходимости);</t>
  </si>
  <si>
    <t xml:space="preserve">            Questionnaire for Client on AML (to be provided by first time application and later as on need basis);</t>
  </si>
  <si>
    <t>INFORMATION ABOUT THE BODIES OF THE LEGAL ENTITY (the structure and composition of the governing bodies):</t>
  </si>
  <si>
    <t>Please, list all members of the governing bodies.</t>
  </si>
  <si>
    <t>Пожалуйста, внесите в список всех членов органа управления.</t>
  </si>
  <si>
    <t>Governing body</t>
  </si>
  <si>
    <t>Names of members of the governing body</t>
  </si>
  <si>
    <t>Passport data</t>
  </si>
  <si>
    <t>Введите, пожалуйста, ниже даты, на которые будут предоставлены финансовые отчеты, начиная с последней отчетной даты и далее за последние пять лет. Также представьте информацию об аудиторских компаниях, которые проводили внешний аудит финансовой отчетности Вашей организации за последние пять лет и на последнюю отчетную дату, а также о компаниях которые проводили рейтинг/оценку Вашей деятельности (если таковые имеются).</t>
  </si>
  <si>
    <t>Please, enter below dates that financial reports will be provided for. Please, also provide information about audit companies which conducted audit of your financial statements for the last five years and last reporting date as well as companies which conducted rating/evaluation of your core activity (if available).</t>
  </si>
  <si>
    <t>Даты финансовых отчетов (начиная с последней отчетной даты и далее последние пять лет)</t>
  </si>
  <si>
    <t>Financial reports as of dates (starting from the last reporting date and continue with the last 5 years)</t>
  </si>
  <si>
    <t>________________________________________</t>
  </si>
  <si>
    <t>Please, enter audited data</t>
  </si>
  <si>
    <t>_________________________________________________</t>
  </si>
  <si>
    <t>Главный бухгалтер:</t>
  </si>
  <si>
    <t>Chief Accountant:</t>
  </si>
  <si>
    <t>Наименование кредитного продукта</t>
  </si>
  <si>
    <t>Цель кредита</t>
  </si>
  <si>
    <t>Методология кредитования</t>
  </si>
  <si>
    <t>Залоговое обеспечение</t>
  </si>
  <si>
    <t>Характеристика кредитного продукта</t>
  </si>
  <si>
    <t>Размер кредита:</t>
  </si>
  <si>
    <t>График погашения:</t>
  </si>
  <si>
    <t xml:space="preserve">     Основной суммы</t>
  </si>
  <si>
    <t xml:space="preserve">     Начисленных процентов</t>
  </si>
  <si>
    <t xml:space="preserve">     Льготный период</t>
  </si>
  <si>
    <t>Срок кредита:</t>
  </si>
  <si>
    <t>Процентная ставка:</t>
  </si>
  <si>
    <t>Комиссия за выдачу кредита</t>
  </si>
  <si>
    <t xml:space="preserve">Требования к страхованию </t>
  </si>
  <si>
    <t>Обязательное сбережение</t>
  </si>
  <si>
    <t>Кол-во действующих кредитов</t>
  </si>
  <si>
    <t>Портфель в риске свыше 30 дней + пролонгированные/реструктурированные кредиты</t>
  </si>
  <si>
    <t>Кол-во действующих заемщиков</t>
  </si>
  <si>
    <t>I. Объем кредитного портфеля в разрезе методологий кредитования</t>
  </si>
  <si>
    <t xml:space="preserve">Loans written off in a period </t>
  </si>
  <si>
    <t>Cписанные кредиты за отчетный период</t>
  </si>
  <si>
    <t>Максимальная сумма выданного кредита</t>
  </si>
  <si>
    <t>Минимальная сумма выданного кредита</t>
  </si>
  <si>
    <t>в том числе кредитных специалистов</t>
  </si>
  <si>
    <t>Weighted average interest rate on active loans at end of period</t>
  </si>
  <si>
    <t>Средневзвешенная процентная ставка по активным кредитам на конец периода</t>
  </si>
  <si>
    <t>Торговля</t>
  </si>
  <si>
    <t>Сферауслуг</t>
  </si>
  <si>
    <t>Прочее</t>
  </si>
  <si>
    <t>Растениеводство</t>
  </si>
  <si>
    <t>Приобретение техники и оборудования</t>
  </si>
  <si>
    <t>Потребительские кредиты</t>
  </si>
  <si>
    <t xml:space="preserve">       Crop production</t>
  </si>
  <si>
    <t xml:space="preserve">   Trade / Commerce</t>
  </si>
  <si>
    <t xml:space="preserve">   Purchase of equipment</t>
  </si>
  <si>
    <t xml:space="preserve">   Education/Health/Unforeseen events</t>
  </si>
  <si>
    <t>Образование/Здоровье/Непредвиденные случаи</t>
  </si>
  <si>
    <t>Введите пожалуйста данные прошедшие внешний аудит</t>
  </si>
  <si>
    <t>База начисления процентов</t>
  </si>
  <si>
    <t>Кредитный продукт</t>
  </si>
  <si>
    <t>№1</t>
  </si>
  <si>
    <t>№2</t>
  </si>
  <si>
    <t>№3</t>
  </si>
  <si>
    <t>№4</t>
  </si>
  <si>
    <t>№5</t>
  </si>
  <si>
    <t>№6</t>
  </si>
  <si>
    <t>№7</t>
  </si>
  <si>
    <t>№8</t>
  </si>
  <si>
    <t>№9</t>
  </si>
  <si>
    <t>№10</t>
  </si>
  <si>
    <t xml:space="preserve">LIST OF LOAN PRODUCTS AS OF </t>
  </si>
  <si>
    <t>ОПИСАНИЕ КРЕДИТНЫХ ПРОДУКТОВ ПО СОСТОЯНИЮ НА</t>
  </si>
  <si>
    <t>Loan product</t>
  </si>
  <si>
    <t>Loan product characteristics</t>
  </si>
  <si>
    <t>Loan product name</t>
  </si>
  <si>
    <t>Loan purpose</t>
  </si>
  <si>
    <t>Lending methodology</t>
  </si>
  <si>
    <t>Collateral requirements</t>
  </si>
  <si>
    <t>Repayment schedule:</t>
  </si>
  <si>
    <t>Loan size:</t>
  </si>
  <si>
    <t xml:space="preserve">   Principal</t>
  </si>
  <si>
    <t xml:space="preserve">   Accrued interests</t>
  </si>
  <si>
    <t xml:space="preserve">   Grace period</t>
  </si>
  <si>
    <t xml:space="preserve">   Minimum </t>
  </si>
  <si>
    <t xml:space="preserve">   Maximum</t>
  </si>
  <si>
    <t xml:space="preserve">   Average size</t>
  </si>
  <si>
    <t>Loan term:</t>
  </si>
  <si>
    <t xml:space="preserve">   Average term</t>
  </si>
  <si>
    <t>Interest rate:</t>
  </si>
  <si>
    <t xml:space="preserve">   Average interest rate</t>
  </si>
  <si>
    <t>Interest accrual basis</t>
  </si>
  <si>
    <t>Comission/fees</t>
  </si>
  <si>
    <t>Compulsory Insurance</t>
  </si>
  <si>
    <t>Compulsory Savings</t>
  </si>
  <si>
    <t>Number of active loans</t>
  </si>
  <si>
    <t>Number of active borrowers</t>
  </si>
  <si>
    <t>Gross Loan Portfolio (Local Currency)</t>
  </si>
  <si>
    <t>PAR&gt;30 days + restructured loans</t>
  </si>
  <si>
    <t xml:space="preserve">    Минимальная сумма </t>
  </si>
  <si>
    <t xml:space="preserve">   Средняя сумма</t>
  </si>
  <si>
    <t xml:space="preserve">   Минимум</t>
  </si>
  <si>
    <t xml:space="preserve">   Максимум</t>
  </si>
  <si>
    <t xml:space="preserve">   Средний срок</t>
  </si>
  <si>
    <t xml:space="preserve">   Средняя ставка</t>
  </si>
  <si>
    <t xml:space="preserve">    Максимальная сумма </t>
  </si>
  <si>
    <t>Совокупная задолженность 20 самых крупных заемщиков (остаток)</t>
  </si>
  <si>
    <t>Top 20 largest exposures (balance)</t>
  </si>
  <si>
    <t>Административные расходы</t>
  </si>
  <si>
    <t>Administrative Expenses</t>
  </si>
  <si>
    <t>Прочие операционные расходы</t>
  </si>
  <si>
    <t>Расходы по амортизации</t>
  </si>
  <si>
    <t>Depreciation/amortization</t>
  </si>
  <si>
    <t xml:space="preserve">Other operating expenses </t>
  </si>
  <si>
    <t>Итого операционные расходы (I13+I14+I15+I16)</t>
  </si>
  <si>
    <t>Total Operating Expenses (I13+I14+I15+I16)</t>
  </si>
  <si>
    <t>НЕОПЕРАЦИОННЫЕ ДОХОДЫ</t>
  </si>
  <si>
    <t>NON-OPERATING REVENUE</t>
  </si>
  <si>
    <t>Foreign Exchange Gain (Loss)</t>
  </si>
  <si>
    <t>Non Operating Income</t>
  </si>
  <si>
    <t>Donations</t>
  </si>
  <si>
    <t>Non-Operating Expense</t>
  </si>
  <si>
    <t>Гранты</t>
  </si>
  <si>
    <t>I26</t>
  </si>
  <si>
    <t>Итого неоперационный доход (I19+I20+I21+I22)</t>
  </si>
  <si>
    <t>Total non-operating revenue (I19+I20+I21+I22)</t>
  </si>
  <si>
    <t>Доход/убыток от курсовой разницы</t>
  </si>
  <si>
    <t>ВСЕГО ДОХОД - ПРИБЫЛЬ/УБЫТОК (I18+I23)</t>
  </si>
  <si>
    <t>TOTAL INCOME/LOSS  (I18+I23)</t>
  </si>
  <si>
    <t>ЧИСТАЯ ПРИБЫЛЬ (I24-I25)</t>
  </si>
  <si>
    <t>NET INCOME/LOSS (I24-I25)</t>
  </si>
  <si>
    <t>Чистый доход от операций (I12-I17)</t>
  </si>
  <si>
    <t>Net Income from Operations (I12-I17)</t>
  </si>
  <si>
    <t>Вертикальный анализ</t>
  </si>
  <si>
    <t>Commonsize analysis</t>
  </si>
  <si>
    <t>Горизонтальный анализ</t>
  </si>
  <si>
    <t>Trends in Balance Sheet</t>
  </si>
  <si>
    <t>Trends in Income Statement</t>
  </si>
  <si>
    <t>Объем привлеченных кредитов по годам</t>
  </si>
  <si>
    <t>Объем привлеченных депозитов по годам</t>
  </si>
  <si>
    <t>Amount of loans received during the period</t>
  </si>
  <si>
    <t>Amount of deposits collected during the period</t>
  </si>
  <si>
    <t>Привлеченные депозиты</t>
  </si>
  <si>
    <t>Процентные расходы</t>
  </si>
  <si>
    <t>Operational Self-Sufficiency (OSS)</t>
  </si>
  <si>
    <t xml:space="preserve">Операционная Самоокупаемость </t>
  </si>
  <si>
    <t>Capital Adequacy Ratio</t>
  </si>
  <si>
    <t>Total equity</t>
  </si>
  <si>
    <t>Адекватность капитала</t>
  </si>
  <si>
    <t>Итого капитал</t>
  </si>
  <si>
    <t>Total assets</t>
  </si>
  <si>
    <t>&gt;12%</t>
  </si>
  <si>
    <t>Portfolio profitability analysis</t>
  </si>
  <si>
    <t>Анализ доходности кредитного портфеля</t>
  </si>
  <si>
    <t xml:space="preserve">Доходность кредитного портфеля </t>
  </si>
  <si>
    <t>Interest Expense</t>
  </si>
  <si>
    <t>Operating expense</t>
  </si>
  <si>
    <t>Loan Loss Provision</t>
  </si>
  <si>
    <t>Net Operating Margin</t>
  </si>
  <si>
    <t>Interest expense</t>
  </si>
  <si>
    <t>Total operating expense</t>
  </si>
  <si>
    <t>LLP expense</t>
  </si>
  <si>
    <t>Расходы по созданию РППУ</t>
  </si>
  <si>
    <t>Чистая операционная маржа</t>
  </si>
  <si>
    <t>Итого процентные расходы</t>
  </si>
  <si>
    <t>Итого операционные расходы</t>
  </si>
  <si>
    <t>Расходы по РППУ</t>
  </si>
  <si>
    <t>&gt;0%</t>
  </si>
  <si>
    <t>Portfolio at Risk (PAR) &gt; 30 days + Restructured Loans Ratio</t>
  </si>
  <si>
    <t>Портфель в риске (PAR) &gt; 30 дней + Реструктурированные кредиты</t>
  </si>
  <si>
    <t>Portfolio at Risk (PAR) &gt; 30 days</t>
  </si>
  <si>
    <t>PAR &gt; 30 Days / Gross Loan Portfolio</t>
  </si>
  <si>
    <t>Renegotiated Loans</t>
  </si>
  <si>
    <t>Renegotiated Loans / Gross Loan Portfolio</t>
  </si>
  <si>
    <t>Портфель в риске (PAR) &gt; 30 дней</t>
  </si>
  <si>
    <t>PAR &gt; 30 дней / Общий кредитный портфель</t>
  </si>
  <si>
    <t>Реструктурированные кредиты / Общий кредитный портфель</t>
  </si>
  <si>
    <t>PAR 1 - 30 days</t>
  </si>
  <si>
    <t>PAR 31 - 90 days</t>
  </si>
  <si>
    <t>PAR  91 - 180 days</t>
  </si>
  <si>
    <t>PAR 181 - 360 days</t>
  </si>
  <si>
    <t>PAR &gt; 360 days</t>
  </si>
  <si>
    <t>Loans delinquent 1 - 30 days</t>
  </si>
  <si>
    <t>Loans delinquent 31 - 90 days</t>
  </si>
  <si>
    <t>Loans delinquent  91 - 180 days</t>
  </si>
  <si>
    <t>Loans delinquent 181 - 360 days</t>
  </si>
  <si>
    <t>Loans delinquent more than 360 days</t>
  </si>
  <si>
    <t>PAR 1 - 30 дней</t>
  </si>
  <si>
    <t>PAR 31 - 90 дней</t>
  </si>
  <si>
    <t>PAR  91 - 180 дней</t>
  </si>
  <si>
    <t>PAR 181 - 360 дней</t>
  </si>
  <si>
    <t>PAR &gt; 360 дней</t>
  </si>
  <si>
    <t>Кредиты просроченные от 1 - 30 дней</t>
  </si>
  <si>
    <t>Кредиты просроченные от 31 - 90 дней</t>
  </si>
  <si>
    <t>Кредиты просроченные от  91 - 180 дней</t>
  </si>
  <si>
    <t>Кредиты просроченные от 181 - 360 дней</t>
  </si>
  <si>
    <t>Кредиты просроченные свыше 360 дней</t>
  </si>
  <si>
    <t>Реструктурированные кредиты</t>
  </si>
  <si>
    <t>&lt;7%</t>
  </si>
  <si>
    <t>&lt;2%</t>
  </si>
  <si>
    <t>Salary and Social Fund Expenses/Total operating expenses</t>
  </si>
  <si>
    <t>Personnel expenses ratio</t>
  </si>
  <si>
    <t>Administrative expenses ratio</t>
  </si>
  <si>
    <t>Administrative Expenses/Total operating expenses</t>
  </si>
  <si>
    <t>Расходы на персонал</t>
  </si>
  <si>
    <t>Коэффициент административных расходов</t>
  </si>
  <si>
    <t>Административные расходы/Итого операционные расходы</t>
  </si>
  <si>
    <t>Зарплата и отчисления в Соц.фонд/Итого операционные расходы</t>
  </si>
  <si>
    <t>Количество действующих заемщиков</t>
  </si>
  <si>
    <t>Бишкекский филиал</t>
  </si>
  <si>
    <t>Сокулукский филиал</t>
  </si>
  <si>
    <t>Кантский филиал</t>
  </si>
  <si>
    <t>Карабалтинский филиал</t>
  </si>
  <si>
    <t>Токмокский филиал</t>
  </si>
  <si>
    <t>Ошский филиал</t>
  </si>
  <si>
    <t>Нарынский филиал</t>
  </si>
  <si>
    <t>Top 20 largest exposures of total loan portfolio</t>
  </si>
  <si>
    <t>Совокупная задолженность 20 самых крупных заемщиков от общего кредитного портфеля</t>
  </si>
  <si>
    <t>Loans made to related parties of total loan portfolio</t>
  </si>
  <si>
    <t>Кредиты, выданные связанным сторонам от общего кредитного портфеля</t>
  </si>
  <si>
    <t>Operating Efficiency</t>
  </si>
  <si>
    <t>Sum of all expenses (except income tax)</t>
  </si>
  <si>
    <t>Операционная эффективность</t>
  </si>
  <si>
    <t>Сумма всех расходов (за искл.налога на прибыль)</t>
  </si>
  <si>
    <t>TRENDS IN BALANCE SHEET, INCOME STATEMENT AND LOAN PORTFOLIO</t>
  </si>
  <si>
    <t>АНАЛИЗ ТЕНДЕНЦИЙ ПОКАЗАТЕЛЕЙ БАЛАНСА, ОПУ И КРЕДИТНОГО ПОРТФЕЛЯ</t>
  </si>
  <si>
    <t>Loan loss reserves</t>
  </si>
  <si>
    <t>Other current assets and accrued interests</t>
  </si>
  <si>
    <t>Другие текущие активы и нач.проценты</t>
  </si>
  <si>
    <t>Собственный капитал</t>
  </si>
  <si>
    <t>Привлеченные кредиты</t>
  </si>
  <si>
    <t>Loans received</t>
  </si>
  <si>
    <t>Deposits received</t>
  </si>
  <si>
    <t>Source of funding structure of total assets</t>
  </si>
  <si>
    <t>Структура источников финансирования от общих активов</t>
  </si>
  <si>
    <t>Growth of loan portfolio and total assets</t>
  </si>
  <si>
    <t>Growth of total assets</t>
  </si>
  <si>
    <t>Growth of total loan portfolio</t>
  </si>
  <si>
    <t>Рост кредитного портфеля и общих активов</t>
  </si>
  <si>
    <t>Рост общих активов</t>
  </si>
  <si>
    <t xml:space="preserve">Рост кредитного портфеля </t>
  </si>
  <si>
    <t>Growth of financial income</t>
  </si>
  <si>
    <t>Growth of operating expenses</t>
  </si>
  <si>
    <t>Рост операционных расходов</t>
  </si>
  <si>
    <t>Correlation between income and expenses</t>
  </si>
  <si>
    <t>Корелляция между доходами и расходами</t>
  </si>
  <si>
    <t>Growth of financial expenses</t>
  </si>
  <si>
    <t>Рост финансовых расходов</t>
  </si>
  <si>
    <t xml:space="preserve">Рост финансовых доходов </t>
  </si>
  <si>
    <t>Loan portfolio profitability</t>
  </si>
  <si>
    <t>Рентабельность кредитной деятельности</t>
  </si>
  <si>
    <t>Loan Loss Reserves</t>
  </si>
  <si>
    <t>Расходы по созданию резервов</t>
  </si>
  <si>
    <t>Чистая операцонная маржа</t>
  </si>
  <si>
    <t>Net operating margin</t>
  </si>
  <si>
    <t>Profitabilty and Sustainability</t>
  </si>
  <si>
    <t>Доходность и устойчивость</t>
  </si>
  <si>
    <t>Lending statistics</t>
  </si>
  <si>
    <t>Стат.данные по кредитованию</t>
  </si>
  <si>
    <t>PAR&gt;30 дней+реструктур.кредиты</t>
  </si>
  <si>
    <t>PAR&gt;30 days+restructured loans</t>
  </si>
  <si>
    <t>Gross Loan Portfolio (mln)</t>
  </si>
  <si>
    <t>Общий кредитный портфель (млн.)</t>
  </si>
  <si>
    <t>Loan Portfolio Quality</t>
  </si>
  <si>
    <t>LLR as a % of OLP</t>
  </si>
  <si>
    <t>РППУ от общего кред.портфеля</t>
  </si>
  <si>
    <t xml:space="preserve">1-st biggest </t>
  </si>
  <si>
    <t xml:space="preserve">1-ая наибольшая </t>
  </si>
  <si>
    <t xml:space="preserve">2-ая </t>
  </si>
  <si>
    <t xml:space="preserve">3-ая  </t>
  </si>
  <si>
    <t xml:space="preserve">4-ая  </t>
  </si>
  <si>
    <t xml:space="preserve">5-ая  </t>
  </si>
  <si>
    <t xml:space="preserve">6-ая  </t>
  </si>
  <si>
    <t xml:space="preserve">7-ая  </t>
  </si>
  <si>
    <t xml:space="preserve">8-ая  </t>
  </si>
  <si>
    <t xml:space="preserve">9-ая  </t>
  </si>
  <si>
    <t xml:space="preserve">10-ая  </t>
  </si>
  <si>
    <t xml:space="preserve">2-nd  </t>
  </si>
  <si>
    <t xml:space="preserve">3-rd  </t>
  </si>
  <si>
    <t xml:space="preserve">4-th  </t>
  </si>
  <si>
    <t xml:space="preserve">5-th  </t>
  </si>
  <si>
    <t xml:space="preserve">6-th  </t>
  </si>
  <si>
    <t xml:space="preserve">7-th  </t>
  </si>
  <si>
    <t xml:space="preserve">8-th  </t>
  </si>
  <si>
    <t xml:space="preserve">9-th  </t>
  </si>
  <si>
    <t xml:space="preserve">10-th  </t>
  </si>
  <si>
    <t>Loan Officers / Total Employees</t>
  </si>
  <si>
    <t>Кредитные специалисты/Общее число сотрудников</t>
  </si>
  <si>
    <t>Average loan portfolio/Amount of loans repaid</t>
  </si>
  <si>
    <t>Portfolio turnover (in years)</t>
  </si>
  <si>
    <t>Оборачиваемость кредитного портфеля (в годах)</t>
  </si>
  <si>
    <t>Средний кредитный портфель/Сумма погашенных кредитов за период</t>
  </si>
  <si>
    <t>Portfolio concentration analysis by sectors</t>
  </si>
  <si>
    <t>Анализ концентрации кредитного портфеля по секторам</t>
  </si>
  <si>
    <t xml:space="preserve">List all founders, stockholders and partners. Attach a separate sheet if additional space is needed. Note for Credit Unions: list top 10 members with the biggest amount of membership savings. In case there is a legal entity among founders, please, provide seprately information on founder(s) of this organization (in order to define final beneficiary). </t>
  </si>
  <si>
    <t xml:space="preserve">Внесите в список всех учредителей, акционеров и партнеров. Приложите дополнительный лист, если понадобится. Примечание для Кредитных Союзов: укажите 10 участников с самым большим размером сберегательного пая. Если среди учредителей имеется юридическое лицо, то представьте пожалуйста отдельно информацию об учредителе(лях) данной организации (до выявления конечного выгодоприобретателя). </t>
  </si>
  <si>
    <t>Объем погашенных кредитов по годам</t>
  </si>
  <si>
    <t>Объем погашенных депозитов по годам</t>
  </si>
  <si>
    <t>Amount of loans repaid during the period</t>
  </si>
  <si>
    <t>Amount of deposits repaid during the period</t>
  </si>
  <si>
    <t>Total</t>
  </si>
  <si>
    <t>Информация об источниках финансирования по годам</t>
  </si>
  <si>
    <t>Information on external funding received during the period</t>
  </si>
  <si>
    <t>Loans made to affiliated and related parties (balance)</t>
  </si>
  <si>
    <t>Кредиты, выданные аффилированным и связанным сторонам (остаток)</t>
  </si>
  <si>
    <t>Loans of borrowers who have parallel loans from other financial institutions of total loan portfolio</t>
  </si>
  <si>
    <t>Кредиты заемщиков, имеющие параллельные кредиты в других ФКУ от общего кредитного портфеля</t>
  </si>
  <si>
    <t xml:space="preserve">Loans disbursed in a period </t>
  </si>
  <si>
    <t>Информация о выданных кредитов за период</t>
  </si>
  <si>
    <t xml:space="preserve">Loans of borrowers who have parallel loans from other financial institutions </t>
  </si>
  <si>
    <t xml:space="preserve">Кредиты заемщиков, имеющие параллельные кредиты в других ФКУ </t>
  </si>
  <si>
    <t>Касса, наличные денежные средства</t>
  </si>
  <si>
    <t>Средства на расчетных счетах (счета в банках)</t>
  </si>
  <si>
    <t xml:space="preserve">Cash </t>
  </si>
  <si>
    <t>Bank Current Accounts</t>
  </si>
  <si>
    <t>B15</t>
  </si>
  <si>
    <t>В36</t>
  </si>
  <si>
    <t>Чистый портфель (B4-B5)</t>
  </si>
  <si>
    <t>Итого текущие активы (B1+B2+B3+B6+B7+B8)</t>
  </si>
  <si>
    <t>Net Loans Outstanding (B4-B5)</t>
  </si>
  <si>
    <t>Total Current Assets (B1+B2+B3+B6+B7+B8)</t>
  </si>
  <si>
    <t>Балансовая стоимость основных средств (B11-B12)</t>
  </si>
  <si>
    <t>Net Fixed Assets (B11-B12)</t>
  </si>
  <si>
    <t>Итого долгосрочные активы (B10+B13)</t>
  </si>
  <si>
    <t>Total Long Term Assets (B10+B13)</t>
  </si>
  <si>
    <t>Итого текущие обязательства (В16+B17+B18+B19+B20)</t>
  </si>
  <si>
    <t>Total Current Liabilities (В16+B17+B18+B19+B20)</t>
  </si>
  <si>
    <t>Итого обязательства (B21+B22+B23+B24)</t>
  </si>
  <si>
    <t>Total Liabilities (B21+B22+B23+B24)</t>
  </si>
  <si>
    <t>Итого собственные средства (B26+B27+В30+В33+B34)</t>
  </si>
  <si>
    <t>Total Net Worth/Equity (B26+B27+В30+В33+B34)</t>
  </si>
  <si>
    <t>ИТОГО ОБЯЗАТЕЛЬСТВА И СОБСТВЕННЫЕ СРЕДСТВА (B25+B35)</t>
  </si>
  <si>
    <t>TOTAL LIABILITIES AND NET WORTH EQUITY (B25+B35)</t>
  </si>
  <si>
    <t>Разница (B15-B36)</t>
  </si>
  <si>
    <t>Difference (B15-B36)</t>
  </si>
  <si>
    <t>Коэффициент портфеля в риске в данном продукте</t>
  </si>
  <si>
    <t>Коэффициент портфеля в риске в от общего кредитного портфеля</t>
  </si>
  <si>
    <t>PAR in this product</t>
  </si>
  <si>
    <t>PAR of total loan portfolio</t>
  </si>
  <si>
    <t>ИТОГОВЫЕ ЗНАЧЕНИЯ ДАННОГО РАЗДЕЛА</t>
  </si>
  <si>
    <t>TOTALS IN THIS SECTION</t>
  </si>
  <si>
    <t xml:space="preserve">Gross Loan Portfolio </t>
  </si>
  <si>
    <t>Наименование продукта</t>
  </si>
  <si>
    <t>Доля от общего кредитного портфеля</t>
  </si>
  <si>
    <t>Доля от общего кол-ва кредитов</t>
  </si>
  <si>
    <t>Доля от общего кол-ва заемщиков</t>
  </si>
  <si>
    <t>Портфель в риске от общего кредитного портфеля</t>
  </si>
  <si>
    <t>Product name</t>
  </si>
  <si>
    <t>Share of total number of active loans</t>
  </si>
  <si>
    <t>Share of total number of active borrowers</t>
  </si>
  <si>
    <t>Share of Gross Loan Portfolio</t>
  </si>
  <si>
    <t>Portfolio at Risk of Gross Loan Portfolio</t>
  </si>
  <si>
    <t>X. Анализ кредитного портфеля в разрезе продуктов</t>
  </si>
  <si>
    <t>X. Loan portfolio analysis by products</t>
  </si>
  <si>
    <t>Немедленные</t>
  </si>
  <si>
    <t>Активы</t>
  </si>
  <si>
    <t>1.</t>
  </si>
  <si>
    <t>Разделите активы и пассивы по оставшимся срокам</t>
  </si>
  <si>
    <t>Введите данные в валюте отчетности</t>
  </si>
  <si>
    <t>от 31 до 90 дней</t>
  </si>
  <si>
    <t>от 91 до 180 дней</t>
  </si>
  <si>
    <t>от 181 до 365 дней</t>
  </si>
  <si>
    <t>Касса и средства на счетах</t>
  </si>
  <si>
    <t>Чистые долгосрочные активы</t>
  </si>
  <si>
    <t>Другие активы</t>
  </si>
  <si>
    <t>Депозиты</t>
  </si>
  <si>
    <t>Прочие обязательства</t>
  </si>
  <si>
    <t>Пассивы</t>
  </si>
  <si>
    <t>от 1 до 30 дней</t>
  </si>
  <si>
    <t>от 1 года до 3 лет</t>
  </si>
  <si>
    <t>от 3 года до 5 лет</t>
  </si>
  <si>
    <t>Разделите активы и пассивы по видам валюты</t>
  </si>
  <si>
    <t>В другой валюте</t>
  </si>
  <si>
    <t>Национальная валюта</t>
  </si>
  <si>
    <t>В % соотношении от капитала</t>
  </si>
  <si>
    <t>Инвестиции, депозиты</t>
  </si>
  <si>
    <t>Кредитный портфель</t>
  </si>
  <si>
    <t>Кумулятивная позиция</t>
  </si>
  <si>
    <t>Баланс</t>
  </si>
  <si>
    <t>АНАЛИЗ УПРАВЛЕНИЯ АКТИВАМИ И ПАССИВАМИ</t>
  </si>
  <si>
    <t>ANALYSIS OF ASSETS AND LIABILITY MANAGEMENT</t>
  </si>
  <si>
    <t>Please, break down assets and liabilities by residual maturities</t>
  </si>
  <si>
    <t>Enter data in currency reflected in all other reports</t>
  </si>
  <si>
    <t>Balance</t>
  </si>
  <si>
    <t>Cash and current accounts</t>
  </si>
  <si>
    <t>Investments, deposits</t>
  </si>
  <si>
    <t>Loan portfolio</t>
  </si>
  <si>
    <t>Net long term assets</t>
  </si>
  <si>
    <t>Other assets</t>
  </si>
  <si>
    <t>Deposits</t>
  </si>
  <si>
    <t>Займы полученные</t>
  </si>
  <si>
    <t>Other liabilities</t>
  </si>
  <si>
    <t>Total liabilities</t>
  </si>
  <si>
    <t>Итого обязательства</t>
  </si>
  <si>
    <t>Net position</t>
  </si>
  <si>
    <t>Cumulative position</t>
  </si>
  <si>
    <t>Immediate</t>
  </si>
  <si>
    <t>1 to 30 days</t>
  </si>
  <si>
    <t>31 to 90 days</t>
  </si>
  <si>
    <t>91 to 180 days</t>
  </si>
  <si>
    <t>181 to 365 days</t>
  </si>
  <si>
    <t>1 to 3 years</t>
  </si>
  <si>
    <t>3 to 5 years</t>
  </si>
  <si>
    <t>Please, bread down assets and liabilities by types of currency</t>
  </si>
  <si>
    <t>2.</t>
  </si>
  <si>
    <t>Capital</t>
  </si>
  <si>
    <t>Total capital</t>
  </si>
  <si>
    <t>In % of total capital</t>
  </si>
  <si>
    <t>In other currency</t>
  </si>
  <si>
    <t>In local currency</t>
  </si>
  <si>
    <t>Кол-во действующих кредитов, полученных от компании Фронтиэрс:</t>
  </si>
  <si>
    <t>Категория заемщика:</t>
  </si>
  <si>
    <t>Размер запрашиваемого кредита:</t>
  </si>
  <si>
    <t>Please, describe the volume and number of tranches (no more than three) on requested loan as well as grace period for principal payments:</t>
  </si>
  <si>
    <t>Опишите пожелания по объему и кол-ву траншей (не более трех) по запрашиваемому кредиту, а также льготного периода по погашению основного долга:</t>
  </si>
  <si>
    <t xml:space="preserve">Пожалуйста, удостоверьтесь в том, что Вы заполнили все разделы данной кредитной заявки (Заявка, Обязательства, Баланс, ОПУ, ГЭП, Портфель, ПРОДУКТЫ, PAR) и приложили все ниже перечисленные документы для того, чтобы Ваша кредитная заявка была рассмотрена, иначе процесс рассмотрения Вашей кредитной заявки будет отложен до получения полного пакета документов. </t>
  </si>
  <si>
    <t xml:space="preserve">            Копии аудиторских отчетов за последние 3 года (при первичном обращении);</t>
  </si>
  <si>
    <t xml:space="preserve">             Copy of audit reports as of last 3 years (to be provided by first time borrowers);</t>
  </si>
  <si>
    <t xml:space="preserve">            Список заемщиков на последнюю отчетную дату согласно внутренней формы организации;</t>
  </si>
  <si>
    <t xml:space="preserve">            List of borrowers as of last reporting date in accordance with the internal form of the company;</t>
  </si>
  <si>
    <t xml:space="preserve">            Документ, подтверждающий кредитную историю (при дополнительном запросе на основании решения КК);</t>
  </si>
  <si>
    <t xml:space="preserve">            Official document that proves your organization has credit history (if CC decides to request so); </t>
  </si>
  <si>
    <t>Причины просрочек</t>
  </si>
  <si>
    <t>%</t>
  </si>
  <si>
    <t>Сумма просроченных кредитов</t>
  </si>
  <si>
    <t>Кол-во просроченных кредитов</t>
  </si>
  <si>
    <t xml:space="preserve">   В том числе по причине затруднения в бизнес деятельности</t>
  </si>
  <si>
    <t>В том числе объем взыскаемыех кредитов через судебные инстанции</t>
  </si>
  <si>
    <t>В том числе кол-во взыскаемыех кредитов через судебные инстанции</t>
  </si>
  <si>
    <t>Reasons of delinquency</t>
  </si>
  <si>
    <t xml:space="preserve">   Including due to difficulties in business activity</t>
  </si>
  <si>
    <t xml:space="preserve">   Including due to family problems</t>
  </si>
  <si>
    <t xml:space="preserve">   Including due to the frauds committed by employees of FI</t>
  </si>
  <si>
    <t xml:space="preserve">   Including due to the frauds committed by the borrower</t>
  </si>
  <si>
    <t xml:space="preserve">   Including due to the force majeure</t>
  </si>
  <si>
    <t xml:space="preserve">   Including due to the other reasons</t>
  </si>
  <si>
    <t xml:space="preserve">   В том числе по причине семейных проблем</t>
  </si>
  <si>
    <t xml:space="preserve">   В том числе по причине пошенничества со стороны заемщика</t>
  </si>
  <si>
    <t xml:space="preserve">   В том числе по причине мошенничества со стороны сотрудников ФКУ</t>
  </si>
  <si>
    <t xml:space="preserve">   В том числе по причине форс мажорных обстоятельств</t>
  </si>
  <si>
    <t xml:space="preserve">   В том числе по другим причинам</t>
  </si>
  <si>
    <t>Volume of delinquent loans</t>
  </si>
  <si>
    <t>Итого просроченные кредиты свыше 30 дней</t>
  </si>
  <si>
    <t>Total loans delinquent &gt; 30 days</t>
  </si>
  <si>
    <t>Number of delinquent loans</t>
  </si>
  <si>
    <t>Including volume of loans being recovered through court proceedings</t>
  </si>
  <si>
    <t>Including number of loans being recovered through court proceedings</t>
  </si>
  <si>
    <t>Список всех просроченных кредитов, имеющие просрочки по основной сумме и/или начисленных процентов по состоянию на последнюю отчетную дату.</t>
  </si>
  <si>
    <t>List of all delinquent loans with interest and/or principal amount past due as of last reporting date.</t>
  </si>
  <si>
    <t xml:space="preserve">            Бизнес План;</t>
  </si>
  <si>
    <t xml:space="preserve">            Business Plan;</t>
  </si>
  <si>
    <t>Вся информация, содержащаяся в данной заявке, рассматривается исключительно конфиденциальной. Заполненная заявка может быть представлена по следующему адресу:  
Кыргызская Республика, г.Бишкек, 720011, ул. Абдрахманова 201 (1 этаж), Teл/Факс: +996 (312) 30-45-03, 30-45-11, 30-45-12; или по электронной почте: office@frontiers.kg</t>
  </si>
  <si>
    <t>All information provided in this application is treated as privileged business information. Completed application should be forwarded by mail, fax or email to: 201 Abdrahmanova str., Bishkek, 720033, Kyrgyz Republic (1st floor), Tel/Fax: +996 (312) 30-45-03, 30-45-11, 30-45-12.   E-mail: office@frontiers.kg</t>
  </si>
  <si>
    <t xml:space="preserve">Please, make sure that all parts of the current loan application have been filled out (Application, Liabilities, Balance Sheet, Income Statement, GAP, Loan Portfolio, Products, PAR) and all of the following documentation have been included in order for your loan application to be processed. Otherwise, the processing of your loan application will be postponed until full list of documents is provided.    </t>
  </si>
  <si>
    <t xml:space="preserve">           Решение о назначении членов органов управления;</t>
  </si>
  <si>
    <t xml:space="preserve">           Копия паспорта участников (из числа физических лиц)/копия Устава, Свидетельство Министерства Юстиции о государственной регистрации юридического лица (из числа юридических лиц);</t>
  </si>
  <si>
    <t xml:space="preserve">             Copy of the shareholders' pasports (among individual entities)/copy of Charter, Certificate/License from the Ministry of Justice about state registration of legal entity  (among legal entities);</t>
  </si>
  <si>
    <t xml:space="preserve">            Decision on appointment of management bodies (Top Management, BoD etc.);</t>
  </si>
  <si>
    <t xml:space="preserve">            Statement-consent for MLC "Frontiers" LLC to provide and/or receive any information about the applicant including the information about its chairperson to/from SLE AFCU "Kredinto-informacionnoe buro "Ishenim" (Credit Bureau "Ishenim");</t>
  </si>
  <si>
    <t xml:space="preserve">          Заявление-согласие на предоставление и/или получение  ОсОО МКК "Фронтиэрс" любых  сведений об организации, в том числе информации о руководителе в/из ОЮЛ АФКУ «Кредитно-информационное бюро «Ишеним»;</t>
  </si>
  <si>
    <t>Чиcтая позиция</t>
  </si>
  <si>
    <t>Желаемый Вашей компанией график погашения будущего кредита</t>
  </si>
  <si>
    <t>1. Общая информация по заемщику и кредитной заявке</t>
  </si>
  <si>
    <t>Наименование заемщика:</t>
  </si>
  <si>
    <t>Текущий остаток задолженности по действующим кредитам Фронтиэрс:</t>
  </si>
  <si>
    <t>Лимит кредита к одобрению Кредитным Комитетом (не более 20% от собственного капитала Фронтиэрс или 150% от капитала заемщика):</t>
  </si>
  <si>
    <t>Опишите кредитную историю сотрудничества между Фронтиэрс и заемщиком (когда был выдан первый кредит, объем и кол-во всех полученных кредитов и т.д.):</t>
  </si>
  <si>
    <t>Информация о структуре акционеров и конечных бенефициариев:</t>
  </si>
  <si>
    <t>Результаты проверки кредитной истории заемщика в КИБ:</t>
  </si>
  <si>
    <t>4. Заключение и выводы УПРАВЛЯЮЩЕГО КРЕДИТНЫМ ПОРТФЕЛЕМ</t>
  </si>
  <si>
    <t>Ответственный УКП:_______________________________</t>
  </si>
  <si>
    <t>подпись:______________</t>
  </si>
  <si>
    <t>дата:____________</t>
  </si>
  <si>
    <t>Непосредственный руководитель:__________________________</t>
  </si>
  <si>
    <t>Результаты проверки заемщика / руководителя/участников на соответствие законодательству по ПФТ/ОД:</t>
  </si>
  <si>
    <t>Основные выводы о кредитоспособности заемщика:</t>
  </si>
  <si>
    <t>3. Укажите ниже значительные риски, идентифицированные в деятельности заемщика</t>
  </si>
  <si>
    <t xml:space="preserve">2. Качественный и количественный анализ </t>
  </si>
  <si>
    <t>2.2. Анализ финансовых индикаторов заемщика:</t>
  </si>
  <si>
    <t>2.1. Анализ качественных характеристик заемщика:</t>
  </si>
  <si>
    <t>5. Итоги последней инспекции НБ. Предписания и статус исполнения предписаний НБ:</t>
  </si>
  <si>
    <t>1. Анализ финансовой отчетности (Баланс, ОПУ) и соответствующие выводы УКП:</t>
  </si>
  <si>
    <t>проверено непосредственным руководителем:</t>
  </si>
  <si>
    <t>АНАЛИЗ И ЗАКЛЮЧЕНИЕ ПО КРЕДИТНОЙ ЗАЯВКЕ</t>
  </si>
  <si>
    <t>Cash Flow Statement</t>
  </si>
  <si>
    <t>Cash Flow from Operating activities</t>
  </si>
  <si>
    <t>Net profit before tax</t>
  </si>
  <si>
    <t>Loans</t>
  </si>
  <si>
    <t>Cash Flow from Investing activities</t>
  </si>
  <si>
    <t>Investments</t>
  </si>
  <si>
    <t>Fixed assets</t>
  </si>
  <si>
    <t>Cash Flow from Financial activities</t>
  </si>
  <si>
    <t>Paid in capital</t>
  </si>
  <si>
    <t>Dividends</t>
  </si>
  <si>
    <t>Net flow</t>
  </si>
  <si>
    <t>Cash - opening balance</t>
  </si>
  <si>
    <t>Cash - closing balance</t>
  </si>
  <si>
    <t>Difference</t>
  </si>
  <si>
    <t>5. Прочая информация:</t>
  </si>
  <si>
    <t>Net cash flow from operating activities</t>
  </si>
  <si>
    <t>Net cash flow from investing activities</t>
  </si>
  <si>
    <t>Net cash flow from financing activities</t>
  </si>
  <si>
    <t>Income after corrections</t>
  </si>
  <si>
    <t>Corrections on:</t>
  </si>
  <si>
    <t xml:space="preserve">   Depreciation</t>
  </si>
  <si>
    <t xml:space="preserve">   LLP expense</t>
  </si>
  <si>
    <t>Taxes paid</t>
  </si>
  <si>
    <t>Loans made, net</t>
  </si>
  <si>
    <t>Отчет о движении денежных средств</t>
  </si>
  <si>
    <t>Cash Flow items</t>
  </si>
  <si>
    <t>Статьи отчета</t>
  </si>
  <si>
    <t>Денежные средства от операционной деятельности</t>
  </si>
  <si>
    <t>Прибыль до налога на прибыль</t>
  </si>
  <si>
    <t>Корректировки:</t>
  </si>
  <si>
    <t xml:space="preserve">  Амортизация</t>
  </si>
  <si>
    <t xml:space="preserve">  Расходы по РППУ</t>
  </si>
  <si>
    <t>Прибыль после корректировок</t>
  </si>
  <si>
    <t>Налоги оплаченные</t>
  </si>
  <si>
    <t>Чистое движение по кредитному портфелю</t>
  </si>
  <si>
    <t>Прочие активы</t>
  </si>
  <si>
    <t>Чистое движение денежных средств от операционной деятельности</t>
  </si>
  <si>
    <t>Денежные средства от инвестиционной деятельности</t>
  </si>
  <si>
    <t>Чистое движение средств по инвестициям</t>
  </si>
  <si>
    <t>Чистое движение по основным средства</t>
  </si>
  <si>
    <t>Чистое движение денежных средств от инвестиционной деятельности</t>
  </si>
  <si>
    <t>Денежные средства от финансовой деятельности</t>
  </si>
  <si>
    <t>Увеличение уставного капитала</t>
  </si>
  <si>
    <t>Гранты полученные</t>
  </si>
  <si>
    <t>Дивиденды выплаченные</t>
  </si>
  <si>
    <t>Чистое движение средств по внешним займам</t>
  </si>
  <si>
    <t>Чистое движение средств по привлеченным депозитам</t>
  </si>
  <si>
    <t>Увеличение/уменьшение резервов</t>
  </si>
  <si>
    <t>Чистое движение денежных средств от финансовой деятельности</t>
  </si>
  <si>
    <t>Чистое увеличение денежных средств</t>
  </si>
  <si>
    <t>Денежные средства на начало периода</t>
  </si>
  <si>
    <t>Денежные средства на конец периода</t>
  </si>
  <si>
    <t>Разница</t>
  </si>
  <si>
    <t>Дополнительные данные</t>
  </si>
  <si>
    <t>Проценты полученные</t>
  </si>
  <si>
    <t>Interest income received</t>
  </si>
  <si>
    <t>Проценты оплаченные</t>
  </si>
  <si>
    <t>Interest expense paid</t>
  </si>
  <si>
    <t>Loans repaid on loan portfolio</t>
  </si>
  <si>
    <t>Кредиты погашенные по кредитному портфелю</t>
  </si>
  <si>
    <t>Additional information</t>
  </si>
  <si>
    <t>Operating expenses</t>
  </si>
  <si>
    <t>Остаток средств</t>
  </si>
  <si>
    <t>Income left</t>
  </si>
  <si>
    <t>Погашения ОС от среднего кредитного портфеля</t>
  </si>
  <si>
    <t>Средние погашения ОС в месяц</t>
  </si>
  <si>
    <t>Средние погашения % в месяц</t>
  </si>
  <si>
    <t>Repayments as % of average loan portfolio</t>
  </si>
  <si>
    <t>Average principal repayments per month</t>
  </si>
  <si>
    <t>Average % repayments per month</t>
  </si>
  <si>
    <t>Итого средние погашения в месяц от кредитного портфеля</t>
  </si>
  <si>
    <t>Total average repayments from loan portfolio</t>
  </si>
  <si>
    <t>2. Итоги оценки адекватности системы управления кредитным риском у заемщика:</t>
  </si>
  <si>
    <t>3. Анализ адекватности и соблюдения заемщиком своих кредитных процедур и иных внутренних документов:</t>
  </si>
  <si>
    <t>1. Основные результаты и выводы по итогам последнего выездного мониторинга, в том числе общие выводы по качеству управления, планирования, внутреннего контроля и риск менеджмента:</t>
  </si>
  <si>
    <t>Результаты проверки кредитной истории руководителя и учредителей заемщика в КИБ:</t>
  </si>
  <si>
    <t>Списания кредитов за период</t>
  </si>
  <si>
    <t>Write offs during the period</t>
  </si>
  <si>
    <t>2. Анализ финансовых коэффициентов и соответствующие выводы УКП:</t>
  </si>
  <si>
    <t>3. Анализ кредитных продуктов, динамики и структуры кредитного портфеля и соответствующие выводы УКП:</t>
  </si>
  <si>
    <t>4. Анализ качества кредитного портфеля и соответствующие выводы УКП:</t>
  </si>
  <si>
    <t xml:space="preserve">Соответствие данного заключения требованиям Руководства по Анализу и Мониторинга Заемщиков </t>
  </si>
  <si>
    <t>Срок:</t>
  </si>
  <si>
    <t>Сумма кредита:</t>
  </si>
  <si>
    <t>Дополнительные условия:</t>
  </si>
  <si>
    <t>РЕКОМЕНДУЕМЫЕ УКП УСЛОВИЯ КРЕДИТА</t>
  </si>
  <si>
    <t>4. Статус выполнения лимитов, требований и рекомендаций Фронтиэрс:</t>
  </si>
  <si>
    <t>ANALYSIS AND CONCLUSION ON LOAN APPLICATION</t>
  </si>
  <si>
    <t>1. General information about the borrower and loan application</t>
  </si>
  <si>
    <t>Date of application to Frontiers:</t>
  </si>
  <si>
    <t>Requested loan tenor (months):</t>
  </si>
  <si>
    <t>Number of current loans received from Frontiers:</t>
  </si>
  <si>
    <t>Name of the borrower:</t>
  </si>
  <si>
    <t>Borrower category:</t>
  </si>
  <si>
    <t>Size of the requested loan:</t>
  </si>
  <si>
    <t>Loan size which can be approved by the Credit Committee (no more than 20% of Frontiers' regulatory capital or 150% of the borrower's total capital):</t>
  </si>
  <si>
    <t>Please, describe credit history with Frontiers (when the first loan was made, volume and numbe of all loans received etc.):</t>
  </si>
  <si>
    <t>Information about structure of shareholders and final beneficiaries:</t>
  </si>
  <si>
    <t>Results of the credit history check of the borrower in credit bureau:</t>
  </si>
  <si>
    <t>Results of the credit history check of the general manager and shareholders in credit bureau:</t>
  </si>
  <si>
    <t>Results of the AML analysis with regard to the borrower/general manager/shareholders:</t>
  </si>
  <si>
    <t>2. Qualitative and quantitative analysis</t>
  </si>
  <si>
    <t>2.1. Analysis of qualitative characteristics of the borrower:</t>
  </si>
  <si>
    <t>1. The main results and conclusions of the last on-site monitoring, including general conclusions on the quality of management, planning, internal control and risk management:</t>
  </si>
  <si>
    <t>2. The results of the evaluation of the adequacy of credit risk management system at the borrower:</t>
  </si>
  <si>
    <t>3. Analysis of the adequacy of and compliance with the borrower's credit procedures and other internal documents:</t>
  </si>
  <si>
    <t>4. Status of compliance to the limits, requirements and recommendations made by Frontiers:</t>
  </si>
  <si>
    <t>5. The results of the last National Bank's inspection. List of requirements and implementation status of the National Bank's requirements:</t>
  </si>
  <si>
    <t>2.2. An analysis of the borrower's financial indicators:</t>
  </si>
  <si>
    <t>1. Analysis of the financial statements (balance sheet, income statement) and the corresponding LPM's conclusions:</t>
  </si>
  <si>
    <t>2. Analysis of financial ratios and the corresponding LPM's conclusions:</t>
  </si>
  <si>
    <t>3. Analysis of loan products, dynamics and structure of the loan portfolio and the corresponding LPM's conclusions:</t>
  </si>
  <si>
    <t>4. Analysis of the loan portfolio quality and relevant LPM's conclusions:</t>
  </si>
  <si>
    <t>5. Other information:</t>
  </si>
  <si>
    <t>3. Indicate significant risks identified in the borrower</t>
  </si>
  <si>
    <t>4. Summary and conclusions of the LOAN PORTFOLIO MANAGER</t>
  </si>
  <si>
    <t>The main conclusions on the creditworthiness of the borrower:</t>
  </si>
  <si>
    <t>RECOMMENDED LOAN CONDITIONS</t>
  </si>
  <si>
    <t>Loan amount:</t>
  </si>
  <si>
    <t>Loan tenor:</t>
  </si>
  <si>
    <t>Other conditions:</t>
  </si>
  <si>
    <t>Responsible LPM:_______________________________</t>
  </si>
  <si>
    <t>Signature:______________</t>
  </si>
  <si>
    <t>Date:____________</t>
  </si>
  <si>
    <t>Compliance of the current conclusion to the requirements of the Manual on analysis and monitoring of borrowers</t>
  </si>
  <si>
    <t>is checked by the direct supervisor:</t>
  </si>
  <si>
    <t>Direct supervisor:__________________________</t>
  </si>
  <si>
    <t>certify that I have made a complete and comprehensive analysis of the current application and the borrower's business plan in accordance with the requirements of the credit policies and procedures, manuals for analysis and monitoring of borrowers, based on which I propose:</t>
  </si>
  <si>
    <t xml:space="preserve">Настоящим, я (ФИО УКП) - </t>
  </si>
  <si>
    <t xml:space="preserve">Hereby, I (LPM name) - </t>
  </si>
  <si>
    <t>подтверждаю, что мною произведен полный и всесторонний анализ настоящей заявки и бизнес-плана заявителя в соответствии с требованиями Кредитных Политик и Процедур, Руководства по Анализу и Мониторинга Заемщиков, на основании которого я предлагаю:</t>
  </si>
  <si>
    <t xml:space="preserve">       Одобрить кредитную заявку на следующих условиях: </t>
  </si>
  <si>
    <t xml:space="preserve">       Отклонить кредитную заявку</t>
  </si>
  <si>
    <t xml:space="preserve">       Decline loan application</t>
  </si>
  <si>
    <t xml:space="preserve">       Approve loan application on the following conditions:</t>
  </si>
  <si>
    <t xml:space="preserve">                Отложить кредитную заявку</t>
  </si>
  <si>
    <t xml:space="preserve">                 Postpone loan application</t>
  </si>
  <si>
    <t>Current balance of loans from Frontiers:</t>
  </si>
  <si>
    <t xml:space="preserve"> - 0,07% процента за каждый день просрочки, начисляемую на просроченную часть платежа;</t>
  </si>
  <si>
    <t>7. Прочая информация:</t>
  </si>
  <si>
    <t>7. Other information:</t>
  </si>
  <si>
    <t>6. Выводы по итогам анализа бизнес плана заемщика:</t>
  </si>
  <si>
    <t>6. Conclusions on analysis of borrower's business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</si>
</sst>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р_._-;\-* #,##0.00_р_._-;_-* &quot;-&quot;??_р_._-;_-@_-"/>
    <numFmt numFmtId="164" formatCode="0.0000"/>
    <numFmt numFmtId="165" formatCode="0.0%"/>
    <numFmt numFmtId="166" formatCode="dd/mm/yy;@"/>
    <numFmt numFmtId="167" formatCode="_-* #,##0.0_р_._-;\-* #,##0.0_р_._-;_-* &quot;-&quot;??_р_._-;_-@_-"/>
    <numFmt numFmtId="168" formatCode="_-* #,##0_р_._-;\-* #,##0_р_._-;_-* &quot;-&quot;??_р_._-;_-@_-"/>
    <numFmt numFmtId="169" formatCode="0.00\x"/>
    <numFmt numFmtId="170" formatCode="#,##0\ [$USD]"/>
    <numFmt numFmtId="171" formatCode="_-* #,##0\ [$USD]_-;\-* #,##0\ [$USD]_-;_-* &quot;-&quot;??\ [$USD]_-;_-@_-"/>
    <numFmt numFmtId="172" formatCode="0_);[Red]\(0\)"/>
    <numFmt numFmtId="173" formatCode="_-* #,##0\ [$KGS]_-;\-* #,##0\ [$KGS]_-;_-* &quot;-&quot;??\ [$KGS]_-;_-@_-"/>
    <numFmt numFmtId="174" formatCode="#,##0.0_р_.;[Red]\-#,##0.0_р_."/>
    <numFmt numFmtId="175" formatCode="0."/>
    <numFmt numFmtId="176" formatCode="#,##0_ ;\-#,##0\ "/>
    <numFmt numFmtId="177" formatCode="_ * #,##0_ ;_ * \-#,##0_ ;_ * &quot;-&quot;??_ ;_ @_ "/>
  </numFmts>
  <fonts count="73" x14ac:knownFonts="1">
    <font>
      <sz val="10"/>
      <name val="Arial Cyr"/>
      <charset val="204"/>
    </font>
    <font>
      <sz val="10"/>
      <name val="Arial Cyr"/>
      <charset val="204"/>
    </font>
    <font>
      <sz val="8"/>
      <name val="Arial"/>
      <family val="2"/>
    </font>
    <font>
      <sz val="10"/>
      <name val="Arial"/>
      <family val="2"/>
      <charset val="204"/>
    </font>
    <font>
      <u/>
      <sz val="10"/>
      <color indexed="12"/>
      <name val="Arial Cyr"/>
      <charset val="204"/>
    </font>
    <font>
      <b/>
      <sz val="12"/>
      <name val="Arial"/>
      <family val="2"/>
    </font>
    <font>
      <sz val="8"/>
      <name val="Arial"/>
      <family val="2"/>
      <charset val="204"/>
    </font>
    <font>
      <b/>
      <sz val="8"/>
      <name val="Arial"/>
      <family val="2"/>
    </font>
    <font>
      <b/>
      <sz val="8"/>
      <name val="Arial"/>
      <family val="2"/>
      <charset val="204"/>
    </font>
    <font>
      <sz val="8"/>
      <name val="Arial Cyr"/>
      <charset val="204"/>
    </font>
    <font>
      <b/>
      <sz val="8"/>
      <name val="Arial Cyr"/>
      <charset val="204"/>
    </font>
    <font>
      <b/>
      <sz val="14"/>
      <name val="Arial"/>
      <family val="2"/>
    </font>
    <font>
      <sz val="8"/>
      <name val="Arial"/>
      <family val="2"/>
      <charset val="204"/>
    </font>
    <font>
      <sz val="9"/>
      <name val="Arial"/>
      <family val="2"/>
      <charset val="204"/>
    </font>
    <font>
      <sz val="11"/>
      <name val="Arial"/>
      <family val="2"/>
    </font>
    <font>
      <i/>
      <sz val="8"/>
      <name val="Arial"/>
      <family val="2"/>
    </font>
    <font>
      <i/>
      <sz val="10"/>
      <name val="Arial"/>
      <family val="2"/>
    </font>
    <font>
      <b/>
      <sz val="8"/>
      <color indexed="9"/>
      <name val="Arial"/>
      <family val="2"/>
      <charset val="204"/>
    </font>
    <font>
      <b/>
      <i/>
      <sz val="8"/>
      <name val="Arial"/>
      <family val="2"/>
      <charset val="204"/>
    </font>
    <font>
      <i/>
      <sz val="8"/>
      <name val="Arial"/>
      <family val="2"/>
      <charset val="204"/>
    </font>
    <font>
      <sz val="8"/>
      <color indexed="81"/>
      <name val="Tahoma"/>
      <family val="2"/>
      <charset val="204"/>
    </font>
    <font>
      <b/>
      <sz val="8"/>
      <color indexed="81"/>
      <name val="Tahoma"/>
      <family val="2"/>
      <charset val="204"/>
    </font>
    <font>
      <b/>
      <sz val="8"/>
      <color indexed="10"/>
      <name val="Arial"/>
      <family val="2"/>
      <charset val="204"/>
    </font>
    <font>
      <b/>
      <sz val="8"/>
      <color indexed="12"/>
      <name val="Arial"/>
      <family val="2"/>
      <charset val="204"/>
    </font>
    <font>
      <sz val="8"/>
      <color indexed="10"/>
      <name val="Arial"/>
      <family val="2"/>
      <charset val="204"/>
    </font>
    <font>
      <sz val="10"/>
      <name val="Book Antiqua"/>
      <family val="1"/>
      <charset val="204"/>
    </font>
    <font>
      <sz val="6.5"/>
      <color indexed="10"/>
      <name val="Arial"/>
      <family val="2"/>
      <charset val="204"/>
    </font>
    <font>
      <b/>
      <sz val="8"/>
      <name val="Arial"/>
      <family val="2"/>
      <charset val="204"/>
    </font>
    <font>
      <b/>
      <sz val="8"/>
      <color indexed="12"/>
      <name val="Arial Cyr"/>
      <charset val="204"/>
    </font>
    <font>
      <sz val="8"/>
      <color indexed="46"/>
      <name val="Arial"/>
      <family val="2"/>
      <charset val="204"/>
    </font>
    <font>
      <sz val="8"/>
      <color indexed="9"/>
      <name val="Arial Cyr"/>
      <charset val="204"/>
    </font>
    <font>
      <b/>
      <sz val="10"/>
      <color indexed="12"/>
      <name val="Arial"/>
      <family val="2"/>
      <charset val="204"/>
    </font>
    <font>
      <i/>
      <sz val="8"/>
      <color indexed="10"/>
      <name val="Arial"/>
      <family val="2"/>
      <charset val="204"/>
    </font>
    <font>
      <b/>
      <sz val="7"/>
      <name val="Arial"/>
      <family val="2"/>
      <charset val="204"/>
    </font>
    <font>
      <b/>
      <sz val="8"/>
      <color indexed="8"/>
      <name val="Arial"/>
      <family val="2"/>
      <charset val="204"/>
    </font>
    <font>
      <sz val="8"/>
      <color indexed="8"/>
      <name val="Arial"/>
      <family val="2"/>
      <charset val="204"/>
    </font>
    <font>
      <i/>
      <sz val="8"/>
      <color indexed="8"/>
      <name val="Arial"/>
      <family val="2"/>
      <charset val="204"/>
    </font>
    <font>
      <b/>
      <u/>
      <sz val="11"/>
      <name val="Arial"/>
      <family val="2"/>
      <charset val="204"/>
    </font>
    <font>
      <b/>
      <u/>
      <sz val="8"/>
      <color indexed="12"/>
      <name val="Arial Cyr"/>
      <charset val="204"/>
    </font>
    <font>
      <sz val="8"/>
      <color indexed="9"/>
      <name val="Arial"/>
      <family val="2"/>
      <charset val="204"/>
    </font>
    <font>
      <sz val="7"/>
      <color indexed="10"/>
      <name val="Arial"/>
      <family val="2"/>
      <charset val="204"/>
    </font>
    <font>
      <b/>
      <u/>
      <sz val="10"/>
      <color indexed="10"/>
      <name val="Arial"/>
      <family val="2"/>
      <charset val="204"/>
    </font>
    <font>
      <u/>
      <sz val="8"/>
      <name val="Arial"/>
      <family val="2"/>
      <charset val="204"/>
    </font>
    <font>
      <u/>
      <sz val="8"/>
      <name val="Arial Cyr"/>
      <charset val="204"/>
    </font>
    <font>
      <b/>
      <u/>
      <sz val="8"/>
      <name val="Arial"/>
      <family val="2"/>
      <charset val="204"/>
    </font>
    <font>
      <sz val="10"/>
      <name val="Arial Cyr"/>
      <charset val="204"/>
    </font>
    <font>
      <b/>
      <sz val="9"/>
      <name val="Arial"/>
      <family val="2"/>
      <charset val="204"/>
    </font>
    <font>
      <sz val="8"/>
      <name val="Calibri"/>
      <family val="2"/>
      <charset val="204"/>
    </font>
    <font>
      <sz val="9"/>
      <color indexed="81"/>
      <name val="Tahoma"/>
      <family val="2"/>
      <charset val="204"/>
    </font>
    <font>
      <b/>
      <i/>
      <sz val="8"/>
      <name val="Arial"/>
      <family val="2"/>
    </font>
    <font>
      <sz val="11"/>
      <color theme="1"/>
      <name val="Calibri"/>
      <family val="2"/>
      <charset val="204"/>
      <scheme val="minor"/>
    </font>
    <font>
      <b/>
      <sz val="11"/>
      <color theme="1"/>
      <name val="Calibri"/>
      <family val="2"/>
      <charset val="204"/>
      <scheme val="minor"/>
    </font>
    <font>
      <sz val="8"/>
      <color theme="1"/>
      <name val="Arial"/>
      <family val="2"/>
      <charset val="204"/>
    </font>
    <font>
      <sz val="9"/>
      <color rgb="FF000000"/>
      <name val="Arial"/>
      <family val="2"/>
      <charset val="204"/>
    </font>
    <font>
      <sz val="11"/>
      <name val="Calibri"/>
      <family val="2"/>
      <charset val="204"/>
      <scheme val="minor"/>
    </font>
    <font>
      <b/>
      <sz val="8"/>
      <color rgb="FF0000FF"/>
      <name val="Arial"/>
      <family val="2"/>
      <charset val="204"/>
    </font>
    <font>
      <sz val="8"/>
      <color theme="0"/>
      <name val="Arial Cyr"/>
      <charset val="204"/>
    </font>
    <font>
      <sz val="8"/>
      <color theme="0"/>
      <name val="Arial"/>
      <family val="2"/>
      <charset val="204"/>
    </font>
    <font>
      <b/>
      <sz val="8"/>
      <color theme="0"/>
      <name val="Arial"/>
      <family val="2"/>
      <charset val="204"/>
    </font>
    <font>
      <b/>
      <i/>
      <sz val="8"/>
      <color rgb="FFFF0000"/>
      <name val="Arial"/>
      <family val="2"/>
      <charset val="204"/>
    </font>
    <font>
      <b/>
      <sz val="8"/>
      <color rgb="FFFF0000"/>
      <name val="Arial"/>
      <family val="2"/>
      <charset val="204"/>
    </font>
    <font>
      <sz val="8"/>
      <color rgb="FFFF0000"/>
      <name val="Arial"/>
      <family val="2"/>
      <charset val="204"/>
    </font>
    <font>
      <b/>
      <sz val="9"/>
      <color rgb="FF000000"/>
      <name val="Arial"/>
      <family val="2"/>
      <charset val="204"/>
    </font>
    <font>
      <b/>
      <i/>
      <sz val="9"/>
      <color rgb="FF000000"/>
      <name val="Arial"/>
      <family val="2"/>
      <charset val="204"/>
    </font>
    <font>
      <sz val="9"/>
      <name val="Calibri"/>
      <family val="2"/>
      <charset val="204"/>
      <scheme val="minor"/>
    </font>
    <font>
      <b/>
      <i/>
      <sz val="9"/>
      <name val="Arial"/>
      <family val="2"/>
      <charset val="204"/>
    </font>
    <font>
      <b/>
      <i/>
      <sz val="8"/>
      <color indexed="8"/>
      <name val="Arial"/>
      <family val="2"/>
      <charset val="204"/>
    </font>
    <font>
      <b/>
      <u/>
      <sz val="9"/>
      <name val="Arial"/>
      <family val="2"/>
      <charset val="204"/>
    </font>
    <font>
      <b/>
      <sz val="9"/>
      <color theme="0"/>
      <name val="Arial"/>
      <family val="2"/>
      <charset val="204"/>
    </font>
    <font>
      <i/>
      <sz val="9"/>
      <name val="Arial"/>
      <family val="2"/>
      <charset val="204"/>
    </font>
    <font>
      <b/>
      <sz val="9"/>
      <color indexed="81"/>
      <name val="Tahoma"/>
      <family val="2"/>
      <charset val="204"/>
    </font>
    <font>
      <b/>
      <sz val="9"/>
      <name val="Calibri"/>
      <family val="2"/>
      <charset val="204"/>
      <scheme val="minor"/>
    </font>
    <font>
      <sz val="9"/>
      <color indexed="81"/>
      <name val="Tahoma"/>
      <charset val="1"/>
    </font>
  </fonts>
  <fills count="1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31"/>
        <bgColor indexed="64"/>
      </patternFill>
    </fill>
    <fill>
      <patternFill patternType="solid">
        <fgColor indexed="47"/>
        <bgColor indexed="64"/>
      </patternFill>
    </fill>
    <fill>
      <patternFill patternType="solid">
        <fgColor indexed="40"/>
        <bgColor indexed="64"/>
      </patternFill>
    </fill>
    <fill>
      <patternFill patternType="solid">
        <fgColor indexed="26"/>
        <bgColor indexed="64"/>
      </patternFill>
    </fill>
    <fill>
      <patternFill patternType="solid">
        <fgColor indexed="22"/>
        <bgColor indexed="64"/>
      </patternFill>
    </fill>
    <fill>
      <patternFill patternType="solid">
        <fgColor indexed="44"/>
        <bgColor indexed="64"/>
      </patternFill>
    </fill>
    <fill>
      <patternFill patternType="solid">
        <fgColor indexed="13"/>
        <bgColor indexed="64"/>
      </patternFill>
    </fill>
    <fill>
      <patternFill patternType="solid">
        <fgColor indexed="18"/>
        <bgColor indexed="64"/>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s>
  <borders count="82">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bottom style="thin">
        <color indexed="64"/>
      </bottom>
      <diagonal/>
    </border>
  </borders>
  <cellStyleXfs count="32">
    <xf numFmtId="0" fontId="0" fillId="0" borderId="0"/>
    <xf numFmtId="38" fontId="3" fillId="2" borderId="0" applyNumberFormat="0">
      <alignment horizontal="center" wrapText="1"/>
    </xf>
    <xf numFmtId="17" fontId="3" fillId="3" borderId="0">
      <alignment horizontal="center" wrapText="1"/>
    </xf>
    <xf numFmtId="38" fontId="3" fillId="4" borderId="0" applyNumberFormat="0" applyBorder="0">
      <alignment horizontal="center" wrapText="1"/>
    </xf>
    <xf numFmtId="38" fontId="13" fillId="5" borderId="1">
      <alignment vertical="top" wrapText="1"/>
    </xf>
    <xf numFmtId="38" fontId="5" fillId="5" borderId="1">
      <alignment vertical="top"/>
    </xf>
    <xf numFmtId="38" fontId="14" fillId="6" borderId="0" applyNumberFormat="0" applyFont="0" applyBorder="0" applyAlignment="0">
      <alignment vertical="top" wrapText="1"/>
    </xf>
    <xf numFmtId="38" fontId="2" fillId="6" borderId="0" applyNumberFormat="0">
      <alignment horizontal="center" vertical="top" wrapText="1"/>
    </xf>
    <xf numFmtId="38" fontId="3" fillId="0" borderId="2">
      <alignment horizontal="right" vertical="top" wrapText="1"/>
    </xf>
    <xf numFmtId="169" fontId="3" fillId="0" borderId="2">
      <alignment horizontal="right" vertical="top"/>
    </xf>
    <xf numFmtId="9" fontId="3" fillId="0" borderId="2">
      <alignment horizontal="right" vertical="top"/>
    </xf>
    <xf numFmtId="165" fontId="3" fillId="0" borderId="2">
      <alignment horizontal="right" vertical="top"/>
    </xf>
    <xf numFmtId="10" fontId="3" fillId="0" borderId="2">
      <alignment horizontal="right" vertical="top"/>
    </xf>
    <xf numFmtId="38" fontId="2" fillId="6" borderId="3" applyNumberFormat="0">
      <alignment horizontal="center" wrapText="1"/>
    </xf>
    <xf numFmtId="38" fontId="5" fillId="5" borderId="4">
      <alignment vertical="top" wrapText="1"/>
    </xf>
    <xf numFmtId="38" fontId="14" fillId="3" borderId="5">
      <alignment vertical="top" wrapText="1"/>
    </xf>
    <xf numFmtId="38" fontId="14" fillId="6" borderId="6">
      <alignment vertical="top" wrapText="1"/>
    </xf>
    <xf numFmtId="38" fontId="2" fillId="3" borderId="6">
      <alignment vertical="top" wrapText="1"/>
    </xf>
    <xf numFmtId="38" fontId="2" fillId="6" borderId="6">
      <alignment vertical="top" wrapText="1"/>
    </xf>
    <xf numFmtId="38" fontId="16" fillId="3" borderId="6">
      <alignment horizontal="right" vertical="top" wrapText="1"/>
    </xf>
    <xf numFmtId="38" fontId="16" fillId="6" borderId="6">
      <alignment horizontal="right" vertical="top" wrapText="1"/>
    </xf>
    <xf numFmtId="38" fontId="11" fillId="7" borderId="0">
      <alignment horizontal="center" vertical="top"/>
    </xf>
    <xf numFmtId="38" fontId="16" fillId="8" borderId="5">
      <alignment vertical="top" wrapText="1"/>
    </xf>
    <xf numFmtId="0" fontId="4" fillId="0" borderId="0" applyNumberFormat="0" applyFill="0" applyBorder="0" applyAlignment="0" applyProtection="0">
      <alignment vertical="top"/>
      <protection locked="0"/>
    </xf>
    <xf numFmtId="0" fontId="45" fillId="0" borderId="0"/>
    <xf numFmtId="0" fontId="6" fillId="0" borderId="0">
      <alignment horizontal="left"/>
    </xf>
    <xf numFmtId="0" fontId="50" fillId="0" borderId="0"/>
    <xf numFmtId="0" fontId="1" fillId="0" borderId="0"/>
    <xf numFmtId="9" fontId="1" fillId="0" borderId="0" applyFont="0" applyFill="0" applyBorder="0" applyAlignment="0" applyProtection="0"/>
    <xf numFmtId="9" fontId="45"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cellStyleXfs>
  <cellXfs count="1111">
    <xf numFmtId="0" fontId="0" fillId="0" borderId="0" xfId="0"/>
    <xf numFmtId="0" fontId="6" fillId="0" borderId="0" xfId="0" applyFont="1" applyFill="1"/>
    <xf numFmtId="0" fontId="9" fillId="0" borderId="0" xfId="0" applyFont="1" applyFill="1"/>
    <xf numFmtId="9" fontId="6" fillId="0" borderId="0" xfId="28" applyFont="1" applyFill="1"/>
    <xf numFmtId="0" fontId="6" fillId="0" borderId="7" xfId="0" applyFont="1" applyFill="1" applyBorder="1" applyAlignment="1">
      <alignment vertical="top" wrapText="1"/>
    </xf>
    <xf numFmtId="0" fontId="8" fillId="0" borderId="0" xfId="0" applyFont="1" applyFill="1" applyBorder="1" applyAlignment="1">
      <alignment vertical="top" wrapText="1"/>
    </xf>
    <xf numFmtId="0" fontId="9" fillId="0" borderId="0" xfId="0" applyFont="1"/>
    <xf numFmtId="0" fontId="6" fillId="0" borderId="8" xfId="0" applyFont="1" applyFill="1" applyBorder="1" applyAlignment="1">
      <alignment vertical="top" wrapText="1"/>
    </xf>
    <xf numFmtId="0" fontId="8" fillId="0" borderId="0" xfId="0" applyFont="1" applyFill="1"/>
    <xf numFmtId="0" fontId="8" fillId="0" borderId="8" xfId="0" applyFont="1" applyFill="1" applyBorder="1" applyAlignment="1">
      <alignment vertical="top" wrapText="1"/>
    </xf>
    <xf numFmtId="0" fontId="8" fillId="0" borderId="7" xfId="0" applyFont="1" applyFill="1" applyBorder="1" applyAlignment="1">
      <alignment vertical="top" wrapText="1"/>
    </xf>
    <xf numFmtId="0" fontId="8" fillId="0" borderId="0" xfId="0" applyFont="1" applyFill="1" applyAlignment="1">
      <alignment horizontal="left"/>
    </xf>
    <xf numFmtId="0" fontId="8" fillId="0" borderId="0" xfId="0" applyFont="1" applyFill="1" applyBorder="1" applyAlignment="1">
      <alignment horizontal="center" vertical="top" wrapText="1"/>
    </xf>
    <xf numFmtId="43" fontId="6" fillId="0" borderId="0" xfId="30" applyFont="1" applyFill="1"/>
    <xf numFmtId="0" fontId="8" fillId="0" borderId="8" xfId="0" applyFont="1" applyFill="1" applyBorder="1" applyAlignment="1">
      <alignment vertical="center" wrapText="1"/>
    </xf>
    <xf numFmtId="38" fontId="2" fillId="2" borderId="2" xfId="13" applyFont="1" applyFill="1" applyBorder="1">
      <alignment horizontal="center" wrapText="1"/>
    </xf>
    <xf numFmtId="38" fontId="2" fillId="2" borderId="2" xfId="7" applyFont="1" applyFill="1" applyBorder="1">
      <alignment horizontal="center" vertical="top" wrapText="1"/>
    </xf>
    <xf numFmtId="38" fontId="15" fillId="8" borderId="2" xfId="22" applyFont="1" applyBorder="1">
      <alignment vertical="top" wrapText="1"/>
    </xf>
    <xf numFmtId="0" fontId="8" fillId="0" borderId="9" xfId="0" applyFont="1" applyFill="1" applyBorder="1" applyAlignment="1">
      <alignment vertical="top" wrapText="1"/>
    </xf>
    <xf numFmtId="168" fontId="8" fillId="0" borderId="7" xfId="30" applyNumberFormat="1" applyFont="1" applyFill="1" applyBorder="1" applyAlignment="1">
      <alignment horizontal="right" vertical="top" wrapText="1"/>
    </xf>
    <xf numFmtId="168" fontId="8" fillId="0" borderId="10" xfId="30" applyNumberFormat="1" applyFont="1" applyFill="1" applyBorder="1" applyAlignment="1">
      <alignment horizontal="right" vertical="top" wrapText="1"/>
    </xf>
    <xf numFmtId="0" fontId="6" fillId="0" borderId="0" xfId="0" applyFont="1"/>
    <xf numFmtId="0" fontId="6" fillId="0" borderId="2" xfId="27" applyFont="1" applyBorder="1"/>
    <xf numFmtId="0" fontId="6" fillId="0" borderId="2" xfId="27" applyFont="1" applyBorder="1" applyAlignment="1">
      <alignment horizontal="center"/>
    </xf>
    <xf numFmtId="0" fontId="8" fillId="4" borderId="2" xfId="27" applyFont="1" applyFill="1" applyBorder="1" applyAlignment="1">
      <alignment horizontal="center" vertical="top"/>
    </xf>
    <xf numFmtId="0" fontId="8" fillId="4" borderId="2" xfId="27" applyFont="1" applyFill="1" applyBorder="1" applyAlignment="1">
      <alignment horizontal="center" vertical="top" wrapText="1"/>
    </xf>
    <xf numFmtId="172" fontId="8" fillId="4" borderId="2" xfId="27" applyNumberFormat="1" applyFont="1" applyFill="1" applyBorder="1" applyAlignment="1">
      <alignment horizontal="center" vertical="top" wrapText="1"/>
    </xf>
    <xf numFmtId="0" fontId="8" fillId="0" borderId="0" xfId="0" applyFont="1"/>
    <xf numFmtId="0" fontId="6" fillId="0" borderId="0" xfId="0" applyFont="1" applyFill="1" applyAlignment="1">
      <alignment vertical="top" wrapText="1"/>
    </xf>
    <xf numFmtId="0" fontId="8" fillId="0" borderId="0" xfId="0" applyFont="1" applyFill="1" applyAlignment="1"/>
    <xf numFmtId="0" fontId="10" fillId="0" borderId="0" xfId="0" applyFont="1"/>
    <xf numFmtId="168" fontId="8" fillId="0" borderId="8" xfId="30" applyNumberFormat="1" applyFont="1" applyFill="1" applyBorder="1" applyAlignment="1">
      <alignment horizontal="right" vertical="top" wrapText="1"/>
    </xf>
    <xf numFmtId="14" fontId="8" fillId="0" borderId="0" xfId="0" applyNumberFormat="1" applyFont="1" applyAlignment="1">
      <alignment horizontal="left"/>
    </xf>
    <xf numFmtId="168" fontId="6" fillId="0" borderId="0" xfId="30" applyNumberFormat="1" applyFont="1" applyFill="1"/>
    <xf numFmtId="168" fontId="6" fillId="0" borderId="0" xfId="0" applyNumberFormat="1" applyFont="1"/>
    <xf numFmtId="168" fontId="8" fillId="0" borderId="0" xfId="0" applyNumberFormat="1" applyFont="1"/>
    <xf numFmtId="0" fontId="8" fillId="0" borderId="0" xfId="0" applyFont="1" applyAlignment="1">
      <alignment horizontal="right"/>
    </xf>
    <xf numFmtId="168" fontId="6" fillId="0" borderId="0" xfId="30" applyNumberFormat="1" applyFont="1"/>
    <xf numFmtId="0" fontId="6" fillId="0" borderId="11" xfId="0" applyFont="1" applyFill="1" applyBorder="1" applyAlignment="1">
      <alignment vertical="top" wrapText="1"/>
    </xf>
    <xf numFmtId="168" fontId="26" fillId="0" borderId="0" xfId="30" applyNumberFormat="1" applyFont="1" applyBorder="1" applyAlignment="1" applyProtection="1">
      <alignment horizont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8" fillId="0" borderId="14" xfId="0" applyFont="1" applyFill="1" applyBorder="1" applyAlignment="1">
      <alignment horizontal="center" vertical="center" wrapText="1"/>
    </xf>
    <xf numFmtId="0" fontId="8" fillId="0" borderId="9" xfId="0" applyFont="1" applyFill="1" applyBorder="1"/>
    <xf numFmtId="168" fontId="8" fillId="0" borderId="9" xfId="30" applyNumberFormat="1" applyFont="1" applyFill="1" applyBorder="1"/>
    <xf numFmtId="168" fontId="8" fillId="0" borderId="15" xfId="30" applyNumberFormat="1" applyFont="1" applyFill="1" applyBorder="1" applyAlignment="1">
      <alignment horizontal="right" vertical="top" wrapText="1"/>
    </xf>
    <xf numFmtId="0" fontId="8" fillId="0" borderId="2" xfId="0" applyFont="1" applyFill="1" applyBorder="1" applyAlignment="1">
      <alignment horizontal="center" vertical="center" wrapText="1"/>
    </xf>
    <xf numFmtId="0" fontId="8" fillId="0" borderId="0" xfId="0" applyFont="1" applyFill="1" applyBorder="1"/>
    <xf numFmtId="0" fontId="18" fillId="0" borderId="7" xfId="0" applyFont="1" applyFill="1" applyBorder="1" applyAlignment="1">
      <alignment vertical="top" wrapText="1"/>
    </xf>
    <xf numFmtId="168" fontId="18" fillId="0" borderId="7" xfId="30" applyNumberFormat="1" applyFont="1" applyFill="1" applyBorder="1" applyAlignment="1">
      <alignment horizontal="right" vertical="top" wrapText="1"/>
    </xf>
    <xf numFmtId="0" fontId="18" fillId="0" borderId="0" xfId="0" applyFont="1" applyFill="1"/>
    <xf numFmtId="0" fontId="8" fillId="0" borderId="14" xfId="0" applyFont="1" applyFill="1" applyBorder="1" applyAlignment="1">
      <alignment vertical="top" wrapText="1"/>
    </xf>
    <xf numFmtId="0" fontId="8" fillId="0" borderId="16" xfId="0" applyFont="1" applyFill="1" applyBorder="1" applyAlignment="1">
      <alignment wrapText="1"/>
    </xf>
    <xf numFmtId="0" fontId="8" fillId="0" borderId="17" xfId="0" applyFont="1" applyFill="1" applyBorder="1" applyAlignment="1">
      <alignment wrapText="1"/>
    </xf>
    <xf numFmtId="0" fontId="8" fillId="0" borderId="15" xfId="0" applyFont="1" applyFill="1" applyBorder="1" applyAlignment="1">
      <alignment vertical="top" wrapText="1"/>
    </xf>
    <xf numFmtId="0" fontId="6" fillId="0" borderId="8" xfId="0" applyFont="1" applyFill="1" applyBorder="1" applyAlignment="1">
      <alignment vertical="center" wrapText="1"/>
    </xf>
    <xf numFmtId="0" fontId="6" fillId="0" borderId="11" xfId="0" applyFont="1" applyFill="1" applyBorder="1" applyAlignment="1">
      <alignment vertical="center" wrapText="1"/>
    </xf>
    <xf numFmtId="0" fontId="8" fillId="0" borderId="15" xfId="0" applyFont="1" applyFill="1" applyBorder="1" applyAlignment="1">
      <alignment vertical="center" wrapText="1"/>
    </xf>
    <xf numFmtId="0" fontId="8" fillId="0" borderId="17" xfId="0" applyFont="1" applyFill="1" applyBorder="1" applyAlignment="1">
      <alignment horizontal="center" vertical="center" wrapText="1"/>
    </xf>
    <xf numFmtId="168" fontId="9" fillId="0" borderId="0" xfId="0" applyNumberFormat="1" applyFont="1"/>
    <xf numFmtId="0" fontId="10" fillId="0" borderId="0" xfId="0" applyFont="1" applyFill="1"/>
    <xf numFmtId="0" fontId="10" fillId="0" borderId="18" xfId="0" applyFont="1" applyBorder="1" applyAlignment="1"/>
    <xf numFmtId="38" fontId="2" fillId="2" borderId="19" xfId="7" applyFont="1" applyFill="1" applyBorder="1">
      <alignment horizontal="center" vertical="top" wrapText="1"/>
    </xf>
    <xf numFmtId="14" fontId="10" fillId="0" borderId="20" xfId="0" applyNumberFormat="1" applyFont="1" applyFill="1" applyBorder="1" applyAlignment="1">
      <alignment horizontal="center"/>
    </xf>
    <xf numFmtId="0" fontId="10" fillId="0" borderId="21" xfId="0" applyFont="1" applyBorder="1" applyAlignment="1">
      <alignment horizontal="center"/>
    </xf>
    <xf numFmtId="38" fontId="2" fillId="2" borderId="22" xfId="13" applyFont="1" applyFill="1" applyBorder="1">
      <alignment horizontal="center" wrapText="1"/>
    </xf>
    <xf numFmtId="174" fontId="18" fillId="8" borderId="23" xfId="22" applyNumberFormat="1" applyFont="1" applyBorder="1" applyAlignment="1">
      <alignment horizontal="center" vertical="top" wrapText="1"/>
    </xf>
    <xf numFmtId="38" fontId="7" fillId="5" borderId="24" xfId="14" applyFont="1" applyBorder="1" applyAlignment="1">
      <alignment vertical="top" wrapText="1"/>
    </xf>
    <xf numFmtId="38" fontId="7" fillId="5" borderId="25" xfId="14" applyFont="1" applyBorder="1" applyAlignment="1">
      <alignment vertical="top" wrapText="1"/>
    </xf>
    <xf numFmtId="168" fontId="8" fillId="0" borderId="0" xfId="0" applyNumberFormat="1" applyFont="1" applyFill="1" applyBorder="1" applyAlignment="1">
      <alignment horizontal="center" vertical="top" wrapText="1"/>
    </xf>
    <xf numFmtId="168" fontId="9" fillId="0" borderId="0" xfId="30" applyNumberFormat="1" applyFont="1"/>
    <xf numFmtId="0" fontId="30" fillId="0" borderId="0" xfId="0" applyFont="1" applyAlignment="1">
      <alignment horizontal="center"/>
    </xf>
    <xf numFmtId="175" fontId="8" fillId="0" borderId="0" xfId="0" applyNumberFormat="1" applyFont="1" applyFill="1"/>
    <xf numFmtId="175" fontId="6" fillId="0" borderId="0" xfId="0" applyNumberFormat="1" applyFont="1" applyFill="1"/>
    <xf numFmtId="1" fontId="8" fillId="0" borderId="0" xfId="0" applyNumberFormat="1" applyFont="1" applyFill="1" applyAlignment="1">
      <alignment horizontal="center"/>
    </xf>
    <xf numFmtId="166" fontId="8" fillId="0" borderId="2" xfId="0" applyNumberFormat="1" applyFont="1" applyFill="1" applyBorder="1" applyAlignment="1">
      <alignment horizontal="center"/>
    </xf>
    <xf numFmtId="9" fontId="6" fillId="0" borderId="0" xfId="0" applyNumberFormat="1" applyFont="1" applyFill="1"/>
    <xf numFmtId="0" fontId="23" fillId="0" borderId="0" xfId="0" applyFont="1" applyFill="1" applyAlignment="1"/>
    <xf numFmtId="0" fontId="6" fillId="0" borderId="0" xfId="0" applyFont="1" applyFill="1" applyBorder="1" applyAlignment="1">
      <alignment horizontal="left" vertical="top" wrapText="1"/>
    </xf>
    <xf numFmtId="0" fontId="23" fillId="0" borderId="0" xfId="0" applyFont="1"/>
    <xf numFmtId="4" fontId="25" fillId="0" borderId="0" xfId="0" applyNumberFormat="1" applyFont="1" applyFill="1"/>
    <xf numFmtId="168" fontId="6" fillId="0" borderId="0" xfId="30" applyNumberFormat="1" applyFont="1" applyFill="1" applyAlignment="1">
      <alignment vertical="top" wrapText="1"/>
    </xf>
    <xf numFmtId="170" fontId="6" fillId="0" borderId="0" xfId="0" applyNumberFormat="1" applyFont="1" applyFill="1" applyAlignment="1">
      <alignment vertical="top" wrapText="1"/>
    </xf>
    <xf numFmtId="0" fontId="6" fillId="0" borderId="0" xfId="0" applyFont="1" applyFill="1" applyBorder="1" applyAlignment="1">
      <alignment vertical="top" wrapText="1"/>
    </xf>
    <xf numFmtId="10" fontId="6" fillId="0" borderId="0" xfId="0" applyNumberFormat="1" applyFont="1" applyFill="1" applyBorder="1" applyAlignment="1">
      <alignment horizontal="right" vertical="top" wrapText="1"/>
    </xf>
    <xf numFmtId="9" fontId="6" fillId="0" borderId="0" xfId="28" applyFont="1" applyFill="1" applyAlignment="1">
      <alignment vertical="top" wrapText="1"/>
    </xf>
    <xf numFmtId="14" fontId="6" fillId="0" borderId="0" xfId="0" applyNumberFormat="1" applyFont="1" applyFill="1" applyBorder="1" applyAlignment="1">
      <alignment horizontal="right" vertical="top" wrapText="1"/>
    </xf>
    <xf numFmtId="14" fontId="6" fillId="0" borderId="0" xfId="0" applyNumberFormat="1" applyFont="1" applyFill="1" applyBorder="1" applyAlignment="1">
      <alignment vertical="top" wrapText="1"/>
    </xf>
    <xf numFmtId="0" fontId="6" fillId="0" borderId="0" xfId="0" applyFont="1" applyFill="1" applyAlignment="1">
      <alignment vertical="top"/>
    </xf>
    <xf numFmtId="0" fontId="8" fillId="0" borderId="22" xfId="0" applyFont="1" applyFill="1" applyBorder="1" applyAlignment="1">
      <alignment horizontal="center" vertical="top" wrapText="1"/>
    </xf>
    <xf numFmtId="0" fontId="30" fillId="0" borderId="0" xfId="0" applyFont="1"/>
    <xf numFmtId="168" fontId="6" fillId="9" borderId="7" xfId="30" applyNumberFormat="1" applyFont="1" applyFill="1" applyBorder="1" applyAlignment="1" applyProtection="1">
      <alignment horizontal="right" vertical="top" wrapText="1"/>
      <protection locked="0"/>
    </xf>
    <xf numFmtId="168" fontId="6" fillId="9" borderId="8" xfId="30" applyNumberFormat="1" applyFont="1" applyFill="1" applyBorder="1" applyAlignment="1" applyProtection="1">
      <alignment horizontal="right" vertical="top" wrapText="1"/>
      <protection locked="0"/>
    </xf>
    <xf numFmtId="168" fontId="6" fillId="9" borderId="26" xfId="30" applyNumberFormat="1" applyFont="1" applyFill="1" applyBorder="1" applyAlignment="1" applyProtection="1">
      <alignment horizontal="center" wrapText="1"/>
      <protection locked="0"/>
    </xf>
    <xf numFmtId="168" fontId="6" fillId="9" borderId="23" xfId="30" applyNumberFormat="1" applyFont="1" applyFill="1" applyBorder="1" applyAlignment="1" applyProtection="1">
      <alignment horizontal="center" wrapText="1"/>
      <protection locked="0"/>
    </xf>
    <xf numFmtId="168" fontId="6" fillId="9" borderId="2" xfId="30" applyNumberFormat="1" applyFont="1" applyFill="1" applyBorder="1" applyAlignment="1" applyProtection="1">
      <alignment horizontal="center" wrapText="1"/>
      <protection locked="0"/>
    </xf>
    <xf numFmtId="168" fontId="6" fillId="9" borderId="18" xfId="30" applyNumberFormat="1" applyFont="1" applyFill="1" applyBorder="1" applyAlignment="1" applyProtection="1">
      <alignment horizontal="center" wrapText="1"/>
      <protection locked="0"/>
    </xf>
    <xf numFmtId="168" fontId="6" fillId="9" borderId="27" xfId="30" applyNumberFormat="1" applyFont="1" applyFill="1" applyBorder="1" applyAlignment="1" applyProtection="1">
      <alignment horizontal="center"/>
      <protection locked="0"/>
    </xf>
    <xf numFmtId="168" fontId="6" fillId="9" borderId="26" xfId="30" applyNumberFormat="1" applyFont="1" applyFill="1" applyBorder="1" applyProtection="1">
      <protection locked="0"/>
    </xf>
    <xf numFmtId="168" fontId="6" fillId="9" borderId="2" xfId="30" applyNumberFormat="1" applyFont="1" applyFill="1" applyBorder="1" applyAlignment="1" applyProtection="1">
      <alignment wrapText="1"/>
      <protection locked="0"/>
    </xf>
    <xf numFmtId="168" fontId="6" fillId="9" borderId="23" xfId="30" applyNumberFormat="1" applyFont="1" applyFill="1" applyBorder="1" applyProtection="1">
      <protection locked="0"/>
    </xf>
    <xf numFmtId="168" fontId="6" fillId="9" borderId="23" xfId="30" applyNumberFormat="1" applyFont="1" applyFill="1" applyBorder="1" applyAlignment="1" applyProtection="1">
      <alignment horizontal="center" vertical="top"/>
      <protection locked="0"/>
    </xf>
    <xf numFmtId="168" fontId="6" fillId="9" borderId="2" xfId="30" applyNumberFormat="1" applyFont="1" applyFill="1" applyBorder="1" applyAlignment="1" applyProtection="1">
      <protection locked="0"/>
    </xf>
    <xf numFmtId="168" fontId="6" fillId="9" borderId="28" xfId="30" applyNumberFormat="1" applyFont="1" applyFill="1" applyBorder="1" applyAlignment="1" applyProtection="1">
      <protection locked="0"/>
    </xf>
    <xf numFmtId="168" fontId="6" fillId="9" borderId="18" xfId="30" applyNumberFormat="1" applyFont="1" applyFill="1" applyBorder="1" applyAlignment="1" applyProtection="1">
      <protection locked="0"/>
    </xf>
    <xf numFmtId="168" fontId="6" fillId="9" borderId="18" xfId="30" applyNumberFormat="1" applyFont="1" applyFill="1" applyBorder="1" applyAlignment="1" applyProtection="1">
      <alignment vertical="top"/>
      <protection locked="0"/>
    </xf>
    <xf numFmtId="0" fontId="8" fillId="0" borderId="0" xfId="0" applyFont="1" applyFill="1" applyAlignment="1" applyProtection="1">
      <alignment horizontal="left"/>
    </xf>
    <xf numFmtId="0" fontId="6" fillId="0" borderId="0" xfId="0" applyFont="1" applyProtection="1"/>
    <xf numFmtId="0" fontId="8" fillId="0" borderId="0" xfId="0" applyFont="1" applyProtection="1"/>
    <xf numFmtId="164" fontId="8" fillId="0" borderId="0" xfId="0" applyNumberFormat="1" applyFont="1" applyFill="1" applyBorder="1" applyAlignment="1" applyProtection="1">
      <alignment horizontal="center"/>
    </xf>
    <xf numFmtId="0" fontId="23" fillId="0" borderId="0" xfId="0" applyFont="1" applyProtection="1"/>
    <xf numFmtId="0" fontId="31" fillId="0" borderId="0" xfId="0" applyFont="1" applyProtection="1"/>
    <xf numFmtId="0" fontId="8" fillId="0" borderId="26" xfId="0" applyFont="1" applyBorder="1" applyAlignment="1" applyProtection="1">
      <alignment horizontal="center" wrapText="1"/>
    </xf>
    <xf numFmtId="0" fontId="8" fillId="0" borderId="2" xfId="0" applyFont="1" applyBorder="1" applyAlignment="1" applyProtection="1">
      <alignment horizontal="center" wrapText="1"/>
    </xf>
    <xf numFmtId="0" fontId="8" fillId="0" borderId="23" xfId="0" applyFont="1" applyBorder="1" applyAlignment="1" applyProtection="1">
      <alignment horizontal="center" wrapText="1"/>
    </xf>
    <xf numFmtId="0" fontId="8" fillId="0" borderId="18" xfId="0" applyFont="1" applyBorder="1" applyAlignment="1" applyProtection="1">
      <alignment horizontal="center" wrapText="1"/>
    </xf>
    <xf numFmtId="168" fontId="8" fillId="0" borderId="29" xfId="30" applyNumberFormat="1" applyFont="1" applyFill="1" applyBorder="1" applyAlignment="1" applyProtection="1">
      <alignment horizontal="center" wrapText="1"/>
    </xf>
    <xf numFmtId="168" fontId="8" fillId="0" borderId="30" xfId="30" applyNumberFormat="1" applyFont="1" applyFill="1" applyBorder="1" applyAlignment="1" applyProtection="1">
      <alignment horizontal="center" wrapText="1"/>
    </xf>
    <xf numFmtId="168" fontId="8" fillId="0" borderId="19" xfId="30" applyNumberFormat="1" applyFont="1" applyFill="1" applyBorder="1" applyAlignment="1" applyProtection="1">
      <alignment horizontal="center" wrapText="1"/>
    </xf>
    <xf numFmtId="168" fontId="8" fillId="0" borderId="31" xfId="30" applyNumberFormat="1" applyFont="1" applyFill="1" applyBorder="1" applyAlignment="1" applyProtection="1">
      <alignment horizontal="center" wrapText="1"/>
    </xf>
    <xf numFmtId="0" fontId="8" fillId="0" borderId="32" xfId="0" applyFont="1" applyBorder="1" applyAlignment="1" applyProtection="1">
      <alignment horizontal="center" wrapText="1"/>
    </xf>
    <xf numFmtId="168" fontId="8" fillId="0" borderId="0" xfId="30" applyNumberFormat="1" applyFont="1" applyFill="1" applyBorder="1" applyAlignment="1" applyProtection="1">
      <alignment horizontal="center" wrapText="1"/>
    </xf>
    <xf numFmtId="0" fontId="6" fillId="0" borderId="14" xfId="0" applyFont="1" applyBorder="1" applyAlignment="1" applyProtection="1">
      <alignment horizontal="center"/>
    </xf>
    <xf numFmtId="0" fontId="6" fillId="0" borderId="7" xfId="0" applyFont="1" applyBorder="1" applyAlignment="1" applyProtection="1">
      <alignment horizontal="center"/>
    </xf>
    <xf numFmtId="0" fontId="8" fillId="0" borderId="9" xfId="0" applyFont="1" applyBorder="1" applyAlignment="1" applyProtection="1">
      <alignment horizontal="center"/>
    </xf>
    <xf numFmtId="168" fontId="8" fillId="0" borderId="29" xfId="30" applyNumberFormat="1" applyFont="1" applyBorder="1" applyAlignment="1" applyProtection="1">
      <alignment horizontal="center"/>
    </xf>
    <xf numFmtId="168" fontId="8" fillId="0" borderId="19" xfId="30" applyNumberFormat="1" applyFont="1" applyBorder="1" applyAlignment="1" applyProtection="1">
      <alignment horizontal="center"/>
    </xf>
    <xf numFmtId="168" fontId="8" fillId="0" borderId="33" xfId="30" applyNumberFormat="1" applyFont="1" applyBorder="1" applyAlignment="1" applyProtection="1">
      <alignment horizontal="center"/>
    </xf>
    <xf numFmtId="168" fontId="8" fillId="0" borderId="30" xfId="30" applyNumberFormat="1" applyFont="1" applyBorder="1" applyAlignment="1" applyProtection="1">
      <alignment horizontal="center"/>
    </xf>
    <xf numFmtId="168" fontId="8" fillId="0" borderId="31" xfId="30" applyNumberFormat="1" applyFont="1" applyBorder="1" applyAlignment="1" applyProtection="1">
      <alignment horizontal="center"/>
    </xf>
    <xf numFmtId="0" fontId="8" fillId="0" borderId="0" xfId="0" applyFont="1" applyBorder="1" applyAlignment="1" applyProtection="1"/>
    <xf numFmtId="0" fontId="8" fillId="0" borderId="3" xfId="0" applyFont="1" applyBorder="1" applyAlignment="1" applyProtection="1"/>
    <xf numFmtId="1" fontId="6" fillId="0" borderId="0" xfId="0" applyNumberFormat="1" applyFont="1" applyProtection="1"/>
    <xf numFmtId="0" fontId="8" fillId="0" borderId="30" xfId="0" applyFont="1" applyFill="1" applyBorder="1" applyAlignment="1">
      <alignment horizontal="center" vertical="top" wrapText="1"/>
    </xf>
    <xf numFmtId="0" fontId="8" fillId="0" borderId="34" xfId="0" applyFont="1" applyFill="1" applyBorder="1" applyAlignment="1">
      <alignment horizontal="center" vertical="top" wrapText="1"/>
    </xf>
    <xf numFmtId="168" fontId="23" fillId="0" borderId="0" xfId="30" applyNumberFormat="1" applyFont="1" applyFill="1" applyBorder="1" applyAlignment="1">
      <alignment horizontal="right" vertical="top" wrapText="1"/>
    </xf>
    <xf numFmtId="171" fontId="8" fillId="0" borderId="0" xfId="30" applyNumberFormat="1" applyFont="1" applyFill="1" applyBorder="1" applyAlignment="1">
      <alignment horizontal="center" vertical="top" wrapText="1"/>
    </xf>
    <xf numFmtId="168" fontId="8" fillId="0" borderId="0" xfId="30" applyNumberFormat="1"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9" xfId="0" applyFont="1" applyFill="1" applyBorder="1" applyAlignment="1">
      <alignment horizontal="center" vertical="center" wrapText="1"/>
    </xf>
    <xf numFmtId="0" fontId="6" fillId="0" borderId="23" xfId="0" applyFont="1" applyFill="1" applyBorder="1" applyAlignment="1">
      <alignment vertical="top" wrapText="1"/>
    </xf>
    <xf numFmtId="0" fontId="6" fillId="0" borderId="0" xfId="0" applyFont="1" applyFill="1" applyAlignment="1">
      <alignment horizontal="left" vertical="top" wrapText="1"/>
    </xf>
    <xf numFmtId="0" fontId="8" fillId="10" borderId="2" xfId="0" applyFont="1" applyFill="1" applyBorder="1" applyAlignment="1">
      <alignment vertical="top" wrapText="1"/>
    </xf>
    <xf numFmtId="0" fontId="8" fillId="10" borderId="2" xfId="0" applyFont="1" applyFill="1" applyBorder="1" applyAlignment="1">
      <alignment horizontal="center" vertical="top" wrapText="1"/>
    </xf>
    <xf numFmtId="0" fontId="8" fillId="10" borderId="23" xfId="0" applyFont="1" applyFill="1" applyBorder="1" applyAlignment="1">
      <alignment vertical="top" wrapText="1"/>
    </xf>
    <xf numFmtId="0" fontId="8" fillId="10" borderId="23" xfId="0" applyFont="1" applyFill="1" applyBorder="1" applyAlignment="1">
      <alignment horizontal="center" vertical="top" wrapText="1"/>
    </xf>
    <xf numFmtId="0" fontId="8" fillId="10" borderId="30" xfId="0" applyFont="1" applyFill="1" applyBorder="1" applyAlignment="1">
      <alignment horizontal="center" vertical="top" wrapText="1"/>
    </xf>
    <xf numFmtId="0" fontId="8" fillId="10" borderId="19" xfId="0" applyFont="1" applyFill="1" applyBorder="1" applyAlignment="1">
      <alignment horizontal="center" vertical="top" wrapText="1"/>
    </xf>
    <xf numFmtId="0" fontId="34" fillId="0" borderId="0" xfId="0" applyFont="1" applyBorder="1" applyAlignment="1">
      <alignment horizontal="center" vertical="top" wrapText="1"/>
    </xf>
    <xf numFmtId="168" fontId="6" fillId="0" borderId="2" xfId="30" applyNumberFormat="1" applyFont="1" applyFill="1" applyBorder="1" applyAlignment="1">
      <alignment horizontal="left" vertical="center" wrapText="1"/>
    </xf>
    <xf numFmtId="168" fontId="8" fillId="0" borderId="2" xfId="30" applyNumberFormat="1" applyFont="1" applyFill="1" applyBorder="1" applyAlignment="1">
      <alignment horizontal="center" vertical="center" wrapText="1"/>
    </xf>
    <xf numFmtId="168" fontId="8" fillId="0" borderId="2"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6" fillId="0" borderId="30" xfId="0" applyFont="1" applyFill="1" applyBorder="1" applyAlignment="1">
      <alignment vertical="top" wrapText="1"/>
    </xf>
    <xf numFmtId="0" fontId="6" fillId="0" borderId="23" xfId="0" applyFont="1" applyFill="1" applyBorder="1" applyAlignment="1">
      <alignment horizontal="center" vertical="top" wrapText="1"/>
    </xf>
    <xf numFmtId="0" fontId="8" fillId="0" borderId="0" xfId="0" applyFont="1" applyFill="1" applyBorder="1" applyAlignment="1">
      <alignment horizontal="center" vertical="center" wrapText="1"/>
    </xf>
    <xf numFmtId="168" fontId="8" fillId="0" borderId="0" xfId="3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43" fontId="8" fillId="0" borderId="0" xfId="30" applyFont="1" applyFill="1" applyBorder="1" applyAlignment="1">
      <alignment horizontal="center" vertical="center" wrapText="1"/>
    </xf>
    <xf numFmtId="0" fontId="6" fillId="0" borderId="32" xfId="0" applyFont="1" applyFill="1" applyBorder="1" applyAlignment="1">
      <alignment vertical="top" wrapText="1"/>
    </xf>
    <xf numFmtId="0" fontId="8" fillId="0" borderId="25" xfId="0" applyFont="1" applyFill="1" applyBorder="1" applyAlignment="1">
      <alignment horizontal="center" vertical="center" wrapText="1"/>
    </xf>
    <xf numFmtId="168" fontId="8" fillId="0" borderId="19" xfId="30" applyNumberFormat="1" applyFont="1" applyFill="1" applyBorder="1" applyAlignment="1">
      <alignment horizontal="center" vertical="center" wrapText="1"/>
    </xf>
    <xf numFmtId="0" fontId="6" fillId="0" borderId="8" xfId="0" applyFont="1" applyFill="1" applyBorder="1" applyAlignment="1" applyProtection="1">
      <alignment horizontal="center" wrapText="1"/>
    </xf>
    <xf numFmtId="0" fontId="7" fillId="0" borderId="35" xfId="0" applyFont="1" applyFill="1" applyBorder="1" applyAlignment="1" applyProtection="1">
      <alignment horizontal="center" wrapText="1"/>
    </xf>
    <xf numFmtId="168" fontId="7" fillId="0" borderId="30" xfId="30" applyNumberFormat="1" applyFont="1" applyFill="1" applyBorder="1" applyAlignment="1" applyProtection="1">
      <alignment horizontal="center" wrapText="1"/>
    </xf>
    <xf numFmtId="14" fontId="8" fillId="0" borderId="10" xfId="0" applyNumberFormat="1" applyFont="1" applyBorder="1" applyAlignment="1">
      <alignment horizontal="center"/>
    </xf>
    <xf numFmtId="0" fontId="6" fillId="9" borderId="2" xfId="0" applyFont="1" applyFill="1" applyBorder="1" applyAlignment="1" applyProtection="1">
      <alignment horizontal="left" vertical="center" wrapText="1"/>
      <protection locked="0"/>
    </xf>
    <xf numFmtId="14" fontId="6" fillId="9" borderId="2" xfId="0" applyNumberFormat="1" applyFont="1" applyFill="1" applyBorder="1" applyAlignment="1" applyProtection="1">
      <alignment horizontal="center" vertical="center" wrapText="1"/>
      <protection locked="0"/>
    </xf>
    <xf numFmtId="168" fontId="6" fillId="9" borderId="2" xfId="30" applyNumberFormat="1" applyFont="1" applyFill="1" applyBorder="1" applyAlignment="1" applyProtection="1">
      <alignment horizontal="left" vertical="center" wrapText="1"/>
      <protection locked="0"/>
    </xf>
    <xf numFmtId="0" fontId="6" fillId="9" borderId="2"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left" vertical="center" wrapText="1"/>
      <protection locked="0"/>
    </xf>
    <xf numFmtId="168" fontId="6" fillId="0" borderId="2" xfId="30" applyNumberFormat="1" applyFont="1" applyFill="1" applyBorder="1" applyAlignment="1" applyProtection="1">
      <alignment horizontal="left" vertical="center" wrapText="1"/>
    </xf>
    <xf numFmtId="171" fontId="8" fillId="0" borderId="33" xfId="30" applyNumberFormat="1" applyFont="1" applyFill="1" applyBorder="1" applyAlignment="1">
      <alignment horizontal="center" vertical="top" wrapText="1"/>
    </xf>
    <xf numFmtId="0" fontId="6" fillId="0" borderId="28" xfId="0" applyFont="1" applyFill="1" applyBorder="1" applyAlignment="1">
      <alignment horizontal="center" vertical="center" wrapText="1"/>
    </xf>
    <xf numFmtId="173" fontId="8" fillId="0" borderId="2" xfId="30" applyNumberFormat="1" applyFont="1" applyFill="1" applyBorder="1" applyAlignment="1">
      <alignment horizontal="center" vertical="top" wrapText="1"/>
    </xf>
    <xf numFmtId="168" fontId="8" fillId="0" borderId="19" xfId="30" applyNumberFormat="1" applyFont="1" applyFill="1" applyBorder="1" applyAlignment="1">
      <alignment horizontal="center" vertical="top" wrapText="1"/>
    </xf>
    <xf numFmtId="0" fontId="6" fillId="0" borderId="36" xfId="0" applyFont="1" applyBorder="1"/>
    <xf numFmtId="0" fontId="32" fillId="0" borderId="0" xfId="0" applyFont="1" applyFill="1" applyBorder="1" applyAlignment="1">
      <alignment vertical="top"/>
    </xf>
    <xf numFmtId="171" fontId="8" fillId="0" borderId="19" xfId="30" applyNumberFormat="1" applyFont="1" applyFill="1" applyBorder="1" applyAlignment="1">
      <alignment horizontal="center" vertical="top" wrapText="1"/>
    </xf>
    <xf numFmtId="0" fontId="6" fillId="0" borderId="2" xfId="0" applyFont="1" applyFill="1" applyBorder="1" applyAlignment="1" applyProtection="1">
      <alignment horizontal="center" vertical="center" wrapText="1"/>
      <protection locked="0"/>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23" xfId="0" applyFont="1" applyFill="1" applyBorder="1" applyAlignment="1" applyProtection="1">
      <alignment vertical="top" wrapText="1"/>
      <protection locked="0"/>
    </xf>
    <xf numFmtId="166" fontId="6" fillId="0" borderId="2" xfId="30" applyNumberFormat="1" applyFont="1" applyFill="1" applyBorder="1" applyAlignment="1" applyProtection="1">
      <alignment vertical="top" wrapText="1"/>
      <protection locked="0"/>
    </xf>
    <xf numFmtId="168" fontId="6" fillId="0" borderId="2" xfId="30" applyNumberFormat="1" applyFont="1" applyFill="1" applyBorder="1" applyAlignment="1" applyProtection="1">
      <alignment vertical="top" wrapText="1"/>
      <protection locked="0"/>
    </xf>
    <xf numFmtId="0" fontId="6" fillId="0" borderId="0" xfId="0" applyFont="1" applyFill="1" applyAlignment="1" applyProtection="1">
      <alignment vertical="top" wrapText="1"/>
      <protection locked="0"/>
    </xf>
    <xf numFmtId="0" fontId="39" fillId="0" borderId="0" xfId="0" applyFont="1" applyFill="1" applyBorder="1" applyAlignment="1">
      <alignment horizontal="left" vertical="center" wrapText="1"/>
    </xf>
    <xf numFmtId="0" fontId="39" fillId="0" borderId="0" xfId="0" applyFont="1"/>
    <xf numFmtId="0" fontId="8" fillId="0" borderId="40" xfId="0" applyFont="1" applyBorder="1" applyAlignment="1" applyProtection="1">
      <alignment horizontal="center"/>
    </xf>
    <xf numFmtId="0" fontId="6" fillId="0" borderId="40" xfId="0" applyFont="1" applyBorder="1" applyProtection="1"/>
    <xf numFmtId="0" fontId="6" fillId="0" borderId="41" xfId="0" applyFont="1" applyBorder="1" applyProtection="1"/>
    <xf numFmtId="0" fontId="8" fillId="0" borderId="17" xfId="0" applyFont="1" applyBorder="1" applyAlignment="1" applyProtection="1">
      <alignment wrapText="1"/>
    </xf>
    <xf numFmtId="0" fontId="6" fillId="0" borderId="8" xfId="0" applyFont="1" applyBorder="1" applyAlignment="1" applyProtection="1">
      <alignment horizontal="center" wrapText="1"/>
    </xf>
    <xf numFmtId="0" fontId="8" fillId="0" borderId="35" xfId="0" applyFont="1" applyBorder="1" applyAlignment="1" applyProtection="1">
      <alignment horizontal="center" wrapText="1"/>
    </xf>
    <xf numFmtId="0" fontId="6" fillId="0" borderId="17" xfId="0" applyFont="1" applyBorder="1" applyAlignment="1" applyProtection="1">
      <alignment horizontal="center"/>
    </xf>
    <xf numFmtId="0" fontId="6" fillId="0" borderId="8" xfId="0" applyFont="1" applyBorder="1" applyAlignment="1" applyProtection="1">
      <alignment horizontal="center"/>
    </xf>
    <xf numFmtId="0" fontId="8" fillId="0" borderId="35" xfId="0" applyFont="1" applyBorder="1" applyAlignment="1" applyProtection="1">
      <alignment horizontal="center"/>
    </xf>
    <xf numFmtId="14" fontId="6" fillId="9" borderId="2" xfId="0" applyNumberFormat="1" applyFont="1" applyFill="1" applyBorder="1" applyAlignment="1" applyProtection="1">
      <alignment horizontal="left" vertical="center" wrapText="1"/>
      <protection locked="0"/>
    </xf>
    <xf numFmtId="0" fontId="8" fillId="10" borderId="34"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0" borderId="0" xfId="0" applyFont="1" applyBorder="1" applyAlignment="1">
      <alignment horizontal="right"/>
    </xf>
    <xf numFmtId="0" fontId="9" fillId="0" borderId="0" xfId="0" applyFont="1" applyBorder="1" applyAlignment="1"/>
    <xf numFmtId="14" fontId="10" fillId="0" borderId="0" xfId="0" applyNumberFormat="1" applyFont="1" applyBorder="1" applyAlignment="1"/>
    <xf numFmtId="0" fontId="10" fillId="0" borderId="0" xfId="0" applyFont="1" applyBorder="1" applyAlignment="1"/>
    <xf numFmtId="14" fontId="10" fillId="0" borderId="10" xfId="0" applyNumberFormat="1" applyFont="1" applyBorder="1" applyAlignment="1">
      <alignment horizontal="center"/>
    </xf>
    <xf numFmtId="0" fontId="8" fillId="0" borderId="17" xfId="0" applyFont="1" applyBorder="1" applyAlignment="1" applyProtection="1">
      <alignment horizontal="center"/>
    </xf>
    <xf numFmtId="0" fontId="8" fillId="0" borderId="8" xfId="0" applyFont="1" applyBorder="1" applyAlignment="1" applyProtection="1">
      <alignment horizontal="center"/>
    </xf>
    <xf numFmtId="168" fontId="7" fillId="0" borderId="31" xfId="30" applyNumberFormat="1" applyFont="1" applyFill="1" applyBorder="1" applyAlignment="1" applyProtection="1">
      <alignment horizontal="center" wrapText="1"/>
    </xf>
    <xf numFmtId="0" fontId="28" fillId="0" borderId="0" xfId="0" applyFont="1"/>
    <xf numFmtId="0" fontId="9" fillId="0" borderId="2" xfId="0" applyFont="1" applyBorder="1" applyProtection="1">
      <protection locked="0"/>
    </xf>
    <xf numFmtId="14" fontId="9" fillId="0" borderId="2" xfId="0" applyNumberFormat="1" applyFont="1" applyBorder="1" applyProtection="1">
      <protection locked="0"/>
    </xf>
    <xf numFmtId="168" fontId="9" fillId="0" borderId="2" xfId="30" applyNumberFormat="1" applyFont="1" applyBorder="1" applyProtection="1">
      <protection locked="0"/>
    </xf>
    <xf numFmtId="168" fontId="9" fillId="0" borderId="18" xfId="30" applyNumberFormat="1" applyFont="1" applyBorder="1" applyProtection="1">
      <protection locked="0"/>
    </xf>
    <xf numFmtId="0" fontId="9" fillId="0" borderId="0" xfId="0" applyFont="1" applyProtection="1">
      <protection locked="0"/>
    </xf>
    <xf numFmtId="0" fontId="9" fillId="0" borderId="0" xfId="0" applyFont="1" applyFill="1" applyBorder="1" applyProtection="1">
      <protection locked="0"/>
    </xf>
    <xf numFmtId="0" fontId="8" fillId="0" borderId="23" xfId="0" applyFont="1" applyFill="1" applyBorder="1" applyAlignment="1">
      <alignment horizontal="center" vertical="top" wrapText="1"/>
    </xf>
    <xf numFmtId="168" fontId="6" fillId="9" borderId="18" xfId="30" applyNumberFormat="1" applyFont="1" applyFill="1" applyBorder="1" applyProtection="1">
      <protection locked="0"/>
    </xf>
    <xf numFmtId="0" fontId="8" fillId="0" borderId="40" xfId="0" applyFont="1" applyBorder="1" applyAlignment="1" applyProtection="1">
      <alignment horizontal="center" wrapText="1"/>
    </xf>
    <xf numFmtId="0" fontId="8" fillId="0" borderId="2" xfId="0" applyFont="1" applyFill="1" applyBorder="1" applyAlignment="1">
      <alignment horizontal="center" vertical="top" wrapText="1"/>
    </xf>
    <xf numFmtId="0" fontId="6" fillId="0" borderId="0" xfId="0" applyFont="1" applyBorder="1" applyProtection="1"/>
    <xf numFmtId="0" fontId="8" fillId="0" borderId="23" xfId="0" applyFont="1" applyFill="1" applyBorder="1" applyAlignment="1" applyProtection="1">
      <alignment horizontal="center" wrapText="1"/>
    </xf>
    <xf numFmtId="0" fontId="8" fillId="0" borderId="18" xfId="0" applyFont="1" applyFill="1" applyBorder="1" applyAlignment="1" applyProtection="1">
      <alignment horizontal="center" wrapText="1"/>
    </xf>
    <xf numFmtId="14" fontId="8" fillId="0" borderId="2" xfId="0" applyNumberFormat="1" applyFont="1" applyFill="1" applyBorder="1"/>
    <xf numFmtId="14" fontId="8" fillId="0" borderId="2" xfId="0" applyNumberFormat="1" applyFont="1" applyFill="1" applyBorder="1" applyAlignment="1" applyProtection="1">
      <alignment horizontal="center" vertical="top" wrapText="1"/>
      <protection locked="0"/>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25" xfId="0" applyFont="1" applyFill="1" applyBorder="1" applyAlignment="1">
      <alignment horizontal="center" vertical="center" wrapText="1"/>
    </xf>
    <xf numFmtId="9" fontId="6" fillId="9" borderId="2" xfId="28" applyFont="1" applyFill="1" applyBorder="1" applyAlignment="1" applyProtection="1">
      <alignment horizontal="center" vertical="center" wrapText="1"/>
      <protection locked="0"/>
    </xf>
    <xf numFmtId="14" fontId="8" fillId="0" borderId="23" xfId="0" applyNumberFormat="1" applyFont="1" applyFill="1" applyBorder="1" applyAlignment="1" applyProtection="1">
      <alignment horizontal="center" vertical="top" wrapText="1"/>
      <protection locked="0"/>
    </xf>
    <xf numFmtId="0" fontId="40" fillId="0" borderId="3" xfId="0" applyFont="1" applyFill="1" applyBorder="1" applyAlignment="1">
      <alignment horizontal="center" vertical="top" wrapText="1"/>
    </xf>
    <xf numFmtId="0" fontId="22" fillId="0" borderId="0" xfId="0" applyFont="1" applyFill="1" applyAlignment="1">
      <alignment vertical="top"/>
    </xf>
    <xf numFmtId="14" fontId="8" fillId="0" borderId="19" xfId="0" applyNumberFormat="1" applyFont="1" applyFill="1" applyBorder="1" applyAlignment="1" applyProtection="1">
      <alignment horizontal="center" vertical="top" wrapText="1"/>
      <protection locked="0"/>
    </xf>
    <xf numFmtId="14" fontId="41" fillId="0" borderId="0" xfId="0" applyNumberFormat="1" applyFont="1" applyFill="1" applyBorder="1" applyAlignment="1" applyProtection="1">
      <alignment horizontal="center" vertical="top" wrapText="1"/>
    </xf>
    <xf numFmtId="0" fontId="8" fillId="0" borderId="0" xfId="0" applyFont="1" applyFill="1" applyAlignment="1">
      <alignment horizontal="right"/>
    </xf>
    <xf numFmtId="0" fontId="10" fillId="0" borderId="0" xfId="0" applyFont="1" applyAlignment="1">
      <alignment horizontal="right"/>
    </xf>
    <xf numFmtId="0" fontId="42" fillId="0" borderId="0" xfId="0" applyFont="1" applyFill="1" applyAlignment="1" applyProtection="1">
      <protection locked="0"/>
    </xf>
    <xf numFmtId="14" fontId="44" fillId="0" borderId="0" xfId="0" applyNumberFormat="1" applyFont="1" applyFill="1" applyAlignment="1" applyProtection="1">
      <protection locked="0"/>
    </xf>
    <xf numFmtId="14" fontId="8" fillId="0" borderId="30" xfId="0" applyNumberFormat="1" applyFont="1" applyFill="1" applyBorder="1" applyAlignment="1" applyProtection="1">
      <alignment horizontal="center" vertical="top" wrapText="1"/>
      <protection locked="0"/>
    </xf>
    <xf numFmtId="14" fontId="39" fillId="0" borderId="0" xfId="0" applyNumberFormat="1" applyFont="1" applyFill="1" applyBorder="1" applyAlignment="1" applyProtection="1">
      <alignment horizontal="center" vertical="top" wrapText="1"/>
    </xf>
    <xf numFmtId="14" fontId="39" fillId="0" borderId="0" xfId="0" applyNumberFormat="1" applyFont="1" applyFill="1" applyBorder="1" applyAlignment="1" applyProtection="1">
      <alignment horizontal="center" vertical="top" wrapText="1"/>
      <protection locked="0"/>
    </xf>
    <xf numFmtId="168" fontId="8" fillId="0" borderId="7" xfId="30" applyNumberFormat="1" applyFont="1" applyFill="1" applyBorder="1" applyAlignment="1" applyProtection="1">
      <alignment horizontal="right" vertical="top" wrapText="1"/>
    </xf>
    <xf numFmtId="0" fontId="34" fillId="10" borderId="10" xfId="0" applyFont="1" applyFill="1" applyBorder="1" applyAlignment="1">
      <alignment vertical="top" wrapText="1"/>
    </xf>
    <xf numFmtId="0" fontId="8" fillId="0" borderId="0" xfId="0" applyFont="1" applyFill="1" applyAlignment="1">
      <alignment horizontal="center" vertical="top" wrapText="1"/>
    </xf>
    <xf numFmtId="0" fontId="8" fillId="0" borderId="0" xfId="0" applyFont="1" applyFill="1" applyAlignment="1">
      <alignment vertical="top"/>
    </xf>
    <xf numFmtId="0" fontId="22" fillId="0" borderId="0" xfId="0" applyFont="1" applyFill="1" applyAlignment="1">
      <alignment vertical="top" wrapText="1"/>
    </xf>
    <xf numFmtId="0" fontId="8" fillId="0" borderId="19" xfId="0" applyFont="1" applyBorder="1" applyAlignment="1" applyProtection="1">
      <alignment horizontal="center"/>
      <protection locked="0"/>
    </xf>
    <xf numFmtId="0" fontId="10" fillId="0" borderId="19" xfId="0" applyFont="1" applyBorder="1" applyAlignment="1" applyProtection="1">
      <alignment horizontal="center"/>
      <protection locked="0"/>
    </xf>
    <xf numFmtId="168" fontId="10" fillId="0" borderId="19" xfId="30" applyNumberFormat="1" applyFont="1" applyBorder="1" applyProtection="1">
      <protection locked="0"/>
    </xf>
    <xf numFmtId="168" fontId="10" fillId="0" borderId="31" xfId="30" applyNumberFormat="1" applyFont="1" applyBorder="1" applyProtection="1">
      <protection locked="0"/>
    </xf>
    <xf numFmtId="0" fontId="9" fillId="0" borderId="23" xfId="0" applyFont="1" applyBorder="1" applyProtection="1">
      <protection locked="0"/>
    </xf>
    <xf numFmtId="0" fontId="39" fillId="0" borderId="0" xfId="0" applyFont="1" applyBorder="1" applyAlignment="1" applyProtection="1">
      <alignment horizontal="left"/>
    </xf>
    <xf numFmtId="0" fontId="39" fillId="0" borderId="0" xfId="30" applyNumberFormat="1" applyFont="1" applyBorder="1" applyAlignment="1" applyProtection="1">
      <alignment horizontal="left"/>
    </xf>
    <xf numFmtId="0" fontId="9" fillId="0" borderId="30" xfId="0" applyFont="1" applyBorder="1" applyProtection="1">
      <protection locked="0"/>
    </xf>
    <xf numFmtId="38" fontId="2" fillId="3" borderId="2" xfId="17" applyFont="1" applyBorder="1" applyAlignment="1">
      <alignment horizontal="center" vertical="top" wrapText="1"/>
    </xf>
    <xf numFmtId="38" fontId="29" fillId="5" borderId="41" xfId="14" applyFont="1" applyBorder="1" applyAlignment="1">
      <alignment horizontal="center" vertical="top" wrapText="1"/>
    </xf>
    <xf numFmtId="9" fontId="8" fillId="0" borderId="0" xfId="28" applyFont="1" applyFill="1" applyBorder="1" applyAlignment="1" applyProtection="1">
      <alignment horizontal="center" wrapText="1"/>
    </xf>
    <xf numFmtId="0" fontId="27" fillId="0" borderId="46" xfId="0" applyFont="1" applyFill="1" applyBorder="1" applyAlignment="1" applyProtection="1">
      <alignment wrapText="1"/>
    </xf>
    <xf numFmtId="0" fontId="27" fillId="0" borderId="39" xfId="0" applyFont="1" applyFill="1" applyBorder="1" applyAlignment="1" applyProtection="1">
      <alignment wrapText="1"/>
    </xf>
    <xf numFmtId="0" fontId="8" fillId="0" borderId="12" xfId="0" applyFont="1" applyBorder="1" applyAlignment="1" applyProtection="1">
      <alignment horizontal="center" wrapText="1"/>
    </xf>
    <xf numFmtId="0" fontId="8" fillId="0" borderId="47" xfId="0" applyFont="1" applyBorder="1" applyAlignment="1" applyProtection="1">
      <alignment horizontal="left" wrapText="1"/>
      <protection hidden="1"/>
    </xf>
    <xf numFmtId="0" fontId="8" fillId="0" borderId="32" xfId="0" applyFont="1" applyBorder="1" applyAlignment="1" applyProtection="1">
      <alignment horizontal="center"/>
    </xf>
    <xf numFmtId="0" fontId="8" fillId="0" borderId="12" xfId="0" applyFont="1" applyBorder="1" applyAlignment="1" applyProtection="1">
      <alignment horizontal="center"/>
    </xf>
    <xf numFmtId="0" fontId="8" fillId="0" borderId="48" xfId="0" applyFont="1" applyBorder="1" applyAlignment="1" applyProtection="1">
      <alignment wrapText="1"/>
    </xf>
    <xf numFmtId="168" fontId="6" fillId="9" borderId="49" xfId="30" applyNumberFormat="1" applyFont="1" applyFill="1" applyBorder="1" applyAlignment="1" applyProtection="1">
      <alignment horizontal="center" wrapText="1"/>
      <protection locked="0"/>
    </xf>
    <xf numFmtId="0" fontId="8" fillId="0" borderId="30" xfId="0" applyFont="1" applyBorder="1" applyAlignment="1" applyProtection="1">
      <alignment horizontal="center" wrapText="1"/>
    </xf>
    <xf numFmtId="0" fontId="8" fillId="0" borderId="31" xfId="0" applyFont="1" applyBorder="1" applyAlignment="1" applyProtection="1">
      <alignment horizontal="center" wrapText="1"/>
    </xf>
    <xf numFmtId="0" fontId="6" fillId="0" borderId="16" xfId="0" applyFont="1" applyBorder="1" applyAlignment="1" applyProtection="1">
      <alignment wrapText="1"/>
    </xf>
    <xf numFmtId="0" fontId="6" fillId="0" borderId="8" xfId="0" applyFont="1" applyBorder="1" applyAlignment="1" applyProtection="1">
      <alignment wrapText="1"/>
    </xf>
    <xf numFmtId="0" fontId="8" fillId="0" borderId="35" xfId="0" applyFont="1" applyBorder="1" applyAlignment="1" applyProtection="1">
      <alignment wrapText="1"/>
    </xf>
    <xf numFmtId="0" fontId="8" fillId="0" borderId="29" xfId="0" applyFont="1" applyBorder="1" applyAlignment="1" applyProtection="1">
      <alignment horizontal="center" wrapText="1"/>
    </xf>
    <xf numFmtId="168" fontId="6" fillId="9" borderId="50" xfId="30" applyNumberFormat="1" applyFont="1" applyFill="1" applyBorder="1" applyAlignment="1" applyProtection="1">
      <alignment horizontal="center" wrapText="1"/>
      <protection locked="0"/>
    </xf>
    <xf numFmtId="168" fontId="8" fillId="0" borderId="30" xfId="30" applyNumberFormat="1" applyFont="1" applyBorder="1" applyAlignment="1" applyProtection="1">
      <alignment horizontal="center" wrapText="1"/>
    </xf>
    <xf numFmtId="168" fontId="8" fillId="0" borderId="31" xfId="30" applyNumberFormat="1" applyFont="1" applyBorder="1" applyAlignment="1" applyProtection="1">
      <alignment horizontal="center" wrapText="1"/>
    </xf>
    <xf numFmtId="0" fontId="27" fillId="0" borderId="8" xfId="0" applyFont="1" applyFill="1" applyBorder="1" applyAlignment="1" applyProtection="1"/>
    <xf numFmtId="0" fontId="8" fillId="0" borderId="33" xfId="0" applyFont="1" applyBorder="1" applyAlignment="1" applyProtection="1">
      <alignment horizontal="center" wrapText="1"/>
    </xf>
    <xf numFmtId="0" fontId="6" fillId="0" borderId="16" xfId="0" applyFont="1" applyBorder="1" applyAlignment="1" applyProtection="1">
      <alignment horizontal="center"/>
    </xf>
    <xf numFmtId="0" fontId="52" fillId="0" borderId="0" xfId="0" applyFont="1"/>
    <xf numFmtId="166" fontId="6" fillId="0" borderId="2" xfId="0" applyNumberFormat="1" applyFont="1" applyFill="1" applyBorder="1" applyAlignment="1">
      <alignment horizontal="center"/>
    </xf>
    <xf numFmtId="168" fontId="6" fillId="0" borderId="2" xfId="30" applyNumberFormat="1" applyFont="1" applyFill="1" applyBorder="1" applyAlignment="1">
      <alignment horizontal="center"/>
    </xf>
    <xf numFmtId="166" fontId="6" fillId="0" borderId="0" xfId="0" applyNumberFormat="1" applyFont="1" applyFill="1" applyBorder="1"/>
    <xf numFmtId="168" fontId="6" fillId="0" borderId="8" xfId="30" applyNumberFormat="1" applyFont="1" applyFill="1" applyBorder="1" applyAlignment="1" applyProtection="1">
      <alignment horizontal="left" wrapText="1"/>
      <protection locked="0"/>
    </xf>
    <xf numFmtId="168" fontId="6" fillId="0" borderId="16" xfId="30" applyNumberFormat="1" applyFont="1" applyFill="1" applyBorder="1" applyAlignment="1" applyProtection="1">
      <alignment horizontal="left" wrapText="1"/>
      <protection locked="0"/>
    </xf>
    <xf numFmtId="168" fontId="6" fillId="0" borderId="2" xfId="30" applyNumberFormat="1" applyFont="1" applyFill="1" applyBorder="1" applyAlignment="1" applyProtection="1">
      <alignment horizontal="left" vertical="center" wrapText="1"/>
      <protection locked="0"/>
    </xf>
    <xf numFmtId="176" fontId="6" fillId="9" borderId="8" xfId="30" applyNumberFormat="1" applyFont="1" applyFill="1" applyBorder="1" applyAlignment="1" applyProtection="1">
      <alignment horizontal="right" vertical="top" wrapText="1"/>
      <protection locked="0"/>
    </xf>
    <xf numFmtId="168" fontId="7" fillId="0" borderId="29" xfId="30" applyNumberFormat="1" applyFont="1" applyFill="1" applyBorder="1" applyAlignment="1" applyProtection="1">
      <alignment horizontal="center" wrapText="1"/>
    </xf>
    <xf numFmtId="0" fontId="27" fillId="0" borderId="8" xfId="0" applyFont="1" applyFill="1" applyBorder="1" applyAlignment="1" applyProtection="1">
      <alignment wrapText="1"/>
    </xf>
    <xf numFmtId="0" fontId="45" fillId="0" borderId="0" xfId="24"/>
    <xf numFmtId="0" fontId="53" fillId="0" borderId="0" xfId="24" applyFont="1" applyAlignment="1">
      <alignment horizontal="center" vertical="center" wrapText="1"/>
    </xf>
    <xf numFmtId="0" fontId="53" fillId="0" borderId="2" xfId="24" applyFont="1" applyBorder="1" applyAlignment="1">
      <alignment horizontal="justify" vertical="center" wrapText="1"/>
    </xf>
    <xf numFmtId="0" fontId="53" fillId="0" borderId="2" xfId="24" applyFont="1" applyBorder="1" applyAlignment="1">
      <alignment horizontal="center" vertical="center" wrapText="1"/>
    </xf>
    <xf numFmtId="0" fontId="53" fillId="0" borderId="2" xfId="24" applyFont="1" applyBorder="1" applyAlignment="1">
      <alignment horizontal="left" vertical="center" wrapText="1"/>
    </xf>
    <xf numFmtId="0" fontId="35" fillId="0" borderId="0" xfId="0" applyFont="1"/>
    <xf numFmtId="166" fontId="8" fillId="0" borderId="0" xfId="0" applyNumberFormat="1" applyFont="1" applyFill="1" applyBorder="1"/>
    <xf numFmtId="172" fontId="6" fillId="0" borderId="51" xfId="27" applyNumberFormat="1" applyFont="1" applyBorder="1"/>
    <xf numFmtId="0" fontId="8" fillId="4" borderId="28" xfId="27" applyFont="1" applyFill="1" applyBorder="1" applyAlignment="1">
      <alignment horizontal="center" vertical="top" wrapText="1"/>
    </xf>
    <xf numFmtId="14" fontId="35" fillId="0" borderId="2" xfId="30" applyNumberFormat="1" applyFont="1" applyBorder="1" applyAlignment="1">
      <alignment horizontal="center"/>
    </xf>
    <xf numFmtId="168" fontId="35" fillId="0" borderId="2" xfId="30" applyNumberFormat="1" applyFont="1" applyBorder="1"/>
    <xf numFmtId="0" fontId="35" fillId="0" borderId="2" xfId="0" applyFont="1" applyBorder="1"/>
    <xf numFmtId="168" fontId="35" fillId="0" borderId="2" xfId="0" applyNumberFormat="1" applyFont="1" applyBorder="1"/>
    <xf numFmtId="168" fontId="35" fillId="9" borderId="2" xfId="30" applyNumberFormat="1" applyFont="1" applyFill="1" applyBorder="1"/>
    <xf numFmtId="168" fontId="35" fillId="9" borderId="52" xfId="30" applyNumberFormat="1" applyFont="1" applyFill="1" applyBorder="1"/>
    <xf numFmtId="168" fontId="34" fillId="0" borderId="2" xfId="0" applyNumberFormat="1" applyFont="1" applyBorder="1"/>
    <xf numFmtId="168" fontId="34" fillId="0" borderId="10" xfId="0" applyNumberFormat="1" applyFont="1" applyBorder="1"/>
    <xf numFmtId="168" fontId="34" fillId="0" borderId="10" xfId="30" applyNumberFormat="1" applyFont="1" applyBorder="1"/>
    <xf numFmtId="168" fontId="34" fillId="0" borderId="26" xfId="0" applyNumberFormat="1" applyFont="1" applyBorder="1"/>
    <xf numFmtId="166" fontId="8" fillId="0" borderId="0" xfId="0" applyNumberFormat="1" applyFont="1" applyFill="1" applyBorder="1" applyAlignment="1">
      <alignment horizontal="center"/>
    </xf>
    <xf numFmtId="168" fontId="34" fillId="0" borderId="0" xfId="0" applyNumberFormat="1" applyFont="1" applyBorder="1"/>
    <xf numFmtId="0" fontId="35" fillId="0" borderId="0" xfId="0" applyFont="1" applyBorder="1"/>
    <xf numFmtId="14" fontId="52" fillId="0" borderId="0" xfId="0" applyNumberFormat="1" applyFont="1"/>
    <xf numFmtId="0" fontId="51" fillId="0" borderId="0" xfId="0" applyFont="1" applyAlignment="1">
      <alignment horizontal="center" vertical="center"/>
    </xf>
    <xf numFmtId="0" fontId="0" fillId="0" borderId="0" xfId="0" applyAlignment="1">
      <alignment horizontal="center" vertical="center"/>
    </xf>
    <xf numFmtId="0" fontId="54" fillId="0" borderId="0" xfId="23" applyFont="1" applyAlignment="1" applyProtection="1"/>
    <xf numFmtId="0" fontId="0" fillId="0" borderId="0" xfId="0" applyAlignment="1"/>
    <xf numFmtId="0" fontId="6" fillId="0" borderId="0" xfId="0" applyFont="1" applyFill="1" applyAlignment="1">
      <alignment horizontal="center"/>
    </xf>
    <xf numFmtId="14" fontId="8" fillId="0" borderId="53" xfId="0" applyNumberFormat="1" applyFont="1" applyBorder="1" applyAlignment="1">
      <alignment horizontal="center"/>
    </xf>
    <xf numFmtId="0" fontId="9" fillId="0" borderId="0" xfId="0" applyFont="1" applyAlignment="1">
      <alignment horizontal="center"/>
    </xf>
    <xf numFmtId="14" fontId="8" fillId="0" borderId="40" xfId="0" applyNumberFormat="1" applyFont="1" applyBorder="1" applyAlignment="1">
      <alignment horizontal="center"/>
    </xf>
    <xf numFmtId="38" fontId="8" fillId="3" borderId="30" xfId="15" applyFont="1" applyBorder="1" applyAlignment="1">
      <alignment horizontal="center" vertical="top" wrapText="1"/>
    </xf>
    <xf numFmtId="38" fontId="2" fillId="3" borderId="19" xfId="17" applyFont="1" applyBorder="1" applyAlignment="1">
      <alignment horizontal="center" vertical="top" wrapText="1"/>
    </xf>
    <xf numFmtId="0" fontId="10" fillId="0" borderId="18" xfId="0" applyFont="1" applyBorder="1" applyAlignment="1">
      <alignment horizontal="center"/>
    </xf>
    <xf numFmtId="165" fontId="12" fillId="0" borderId="2" xfId="28" applyNumberFormat="1" applyFont="1" applyBorder="1" applyAlignment="1">
      <alignment horizontal="center" vertical="top"/>
    </xf>
    <xf numFmtId="9" fontId="12" fillId="0" borderId="2" xfId="28" applyFont="1" applyFill="1" applyBorder="1" applyAlignment="1">
      <alignment horizontal="center" vertical="top"/>
    </xf>
    <xf numFmtId="38" fontId="7" fillId="5" borderId="0" xfId="14" applyFont="1" applyBorder="1" applyAlignment="1">
      <alignment horizontal="center" vertical="top" wrapText="1"/>
    </xf>
    <xf numFmtId="38" fontId="7" fillId="5" borderId="41" xfId="14" applyFont="1" applyBorder="1" applyAlignment="1">
      <alignment horizontal="center" vertical="top" wrapText="1"/>
    </xf>
    <xf numFmtId="164" fontId="10" fillId="0" borderId="0" xfId="0" applyNumberFormat="1" applyFont="1" applyFill="1" applyBorder="1" applyAlignment="1" applyProtection="1">
      <alignment horizontal="center"/>
      <protection locked="0"/>
    </xf>
    <xf numFmtId="164" fontId="8" fillId="0" borderId="0" xfId="0" applyNumberFormat="1" applyFont="1" applyFill="1" applyBorder="1"/>
    <xf numFmtId="14" fontId="8" fillId="0" borderId="15" xfId="0" applyNumberFormat="1" applyFont="1" applyBorder="1" applyAlignment="1">
      <alignment horizontal="center"/>
    </xf>
    <xf numFmtId="14" fontId="8" fillId="0" borderId="12" xfId="0" applyNumberFormat="1" applyFont="1" applyBorder="1" applyAlignment="1">
      <alignment horizontal="center"/>
    </xf>
    <xf numFmtId="14" fontId="8" fillId="0" borderId="10" xfId="0" applyNumberFormat="1" applyFont="1" applyFill="1" applyBorder="1" applyAlignment="1">
      <alignment horizontal="center"/>
    </xf>
    <xf numFmtId="0" fontId="47" fillId="0" borderId="0" xfId="0" applyFont="1" applyProtection="1"/>
    <xf numFmtId="168" fontId="26" fillId="0" borderId="0" xfId="30" applyNumberFormat="1" applyFont="1" applyBorder="1" applyAlignment="1" applyProtection="1">
      <alignment horizontal="center" vertical="top" wrapText="1"/>
    </xf>
    <xf numFmtId="0" fontId="6" fillId="0" borderId="17" xfId="0" applyFont="1" applyBorder="1" applyAlignment="1" applyProtection="1">
      <alignment wrapText="1"/>
    </xf>
    <xf numFmtId="0" fontId="6" fillId="0" borderId="35" xfId="0" applyFont="1" applyBorder="1" applyAlignment="1" applyProtection="1">
      <alignment wrapText="1"/>
    </xf>
    <xf numFmtId="168" fontId="6" fillId="9" borderId="34" xfId="30" applyNumberFormat="1" applyFont="1" applyFill="1" applyBorder="1" applyAlignment="1" applyProtection="1">
      <alignment wrapText="1"/>
      <protection locked="0"/>
    </xf>
    <xf numFmtId="168" fontId="6" fillId="9" borderId="42" xfId="30" applyNumberFormat="1" applyFont="1" applyFill="1" applyBorder="1" applyAlignment="1" applyProtection="1">
      <alignment wrapText="1"/>
      <protection locked="0"/>
    </xf>
    <xf numFmtId="168" fontId="6" fillId="9" borderId="30" xfId="30" applyNumberFormat="1" applyFont="1" applyFill="1" applyBorder="1" applyAlignment="1" applyProtection="1">
      <protection locked="0"/>
    </xf>
    <xf numFmtId="168" fontId="6" fillId="9" borderId="31" xfId="30" applyNumberFormat="1" applyFont="1" applyFill="1" applyBorder="1" applyAlignment="1" applyProtection="1">
      <protection locked="0"/>
    </xf>
    <xf numFmtId="0" fontId="6" fillId="0" borderId="32" xfId="0" applyFont="1" applyBorder="1" applyProtection="1"/>
    <xf numFmtId="0" fontId="8" fillId="0" borderId="8" xfId="0" applyFont="1" applyBorder="1" applyAlignment="1" applyProtection="1">
      <alignment wrapText="1"/>
    </xf>
    <xf numFmtId="0" fontId="18" fillId="0" borderId="35" xfId="0" applyFont="1" applyBorder="1" applyAlignment="1" applyProtection="1">
      <alignment wrapText="1"/>
    </xf>
    <xf numFmtId="0" fontId="8" fillId="0" borderId="13" xfId="0" applyFont="1" applyBorder="1" applyAlignment="1" applyProtection="1">
      <alignment horizontal="left" wrapText="1"/>
      <protection hidden="1"/>
    </xf>
    <xf numFmtId="0" fontId="7" fillId="0" borderId="40" xfId="0" applyFont="1" applyFill="1" applyBorder="1" applyAlignment="1" applyProtection="1">
      <alignment wrapText="1"/>
    </xf>
    <xf numFmtId="0" fontId="55" fillId="0" borderId="0" xfId="0" applyFont="1"/>
    <xf numFmtId="168" fontId="6" fillId="9" borderId="7" xfId="31" applyNumberFormat="1" applyFont="1" applyFill="1" applyBorder="1" applyAlignment="1" applyProtection="1">
      <alignment horizontal="right" vertical="top" wrapText="1"/>
      <protection locked="0"/>
    </xf>
    <xf numFmtId="168" fontId="8" fillId="9" borderId="7" xfId="31" applyNumberFormat="1" applyFont="1" applyFill="1" applyBorder="1" applyAlignment="1" applyProtection="1">
      <alignment horizontal="right" vertical="top" wrapText="1"/>
      <protection locked="0"/>
    </xf>
    <xf numFmtId="168" fontId="8" fillId="0" borderId="7" xfId="31" applyNumberFormat="1" applyFont="1" applyFill="1" applyBorder="1" applyAlignment="1">
      <alignment horizontal="right" vertical="top" wrapText="1"/>
    </xf>
    <xf numFmtId="168" fontId="18" fillId="0" borderId="7" xfId="31" applyNumberFormat="1" applyFont="1" applyFill="1" applyBorder="1" applyAlignment="1">
      <alignment horizontal="right" vertical="top" wrapText="1"/>
    </xf>
    <xf numFmtId="168" fontId="6" fillId="0" borderId="7" xfId="31" applyNumberFormat="1" applyFont="1" applyFill="1" applyBorder="1" applyAlignment="1">
      <alignment horizontal="right" vertical="top" wrapText="1"/>
    </xf>
    <xf numFmtId="168" fontId="8" fillId="0" borderId="7" xfId="31" applyNumberFormat="1" applyFont="1" applyFill="1" applyBorder="1" applyAlignment="1" applyProtection="1">
      <alignment horizontal="right" vertical="top" wrapText="1"/>
    </xf>
    <xf numFmtId="176" fontId="6" fillId="9" borderId="7" xfId="30" applyNumberFormat="1" applyFont="1" applyFill="1" applyBorder="1" applyAlignment="1" applyProtection="1">
      <alignment horizontal="right" vertical="top" wrapText="1"/>
      <protection locked="0"/>
    </xf>
    <xf numFmtId="168" fontId="8" fillId="0" borderId="8" xfId="30" applyNumberFormat="1" applyFont="1" applyFill="1" applyBorder="1" applyAlignment="1" applyProtection="1">
      <alignment horizontal="right" vertical="top" wrapText="1"/>
    </xf>
    <xf numFmtId="168" fontId="6" fillId="9" borderId="8" xfId="31" applyNumberFormat="1" applyFont="1" applyFill="1" applyBorder="1" applyAlignment="1" applyProtection="1">
      <alignment horizontal="right" vertical="top" wrapText="1"/>
      <protection locked="0"/>
    </xf>
    <xf numFmtId="176" fontId="6" fillId="9" borderId="8" xfId="31" applyNumberFormat="1" applyFont="1" applyFill="1" applyBorder="1" applyAlignment="1" applyProtection="1">
      <alignment horizontal="right" vertical="top" wrapText="1"/>
      <protection locked="0"/>
    </xf>
    <xf numFmtId="0" fontId="34" fillId="0" borderId="0" xfId="0" applyFont="1"/>
    <xf numFmtId="168" fontId="6" fillId="0" borderId="0" xfId="0" applyNumberFormat="1" applyFont="1" applyFill="1"/>
    <xf numFmtId="168" fontId="10" fillId="0" borderId="0" xfId="30" applyNumberFormat="1" applyFont="1" applyFill="1" applyBorder="1" applyAlignment="1" applyProtection="1">
      <alignment horizontal="center"/>
      <protection locked="0"/>
    </xf>
    <xf numFmtId="167" fontId="35" fillId="0" borderId="0" xfId="0" applyNumberFormat="1" applyFont="1"/>
    <xf numFmtId="165" fontId="12" fillId="0" borderId="28" xfId="28" applyNumberFormat="1" applyFont="1" applyBorder="1" applyAlignment="1">
      <alignment horizontal="center" vertical="top"/>
    </xf>
    <xf numFmtId="165" fontId="8" fillId="0" borderId="19" xfId="28" applyNumberFormat="1" applyFont="1" applyFill="1" applyBorder="1" applyAlignment="1" applyProtection="1">
      <alignment horizontal="center" vertical="top"/>
      <protection locked="0"/>
    </xf>
    <xf numFmtId="9" fontId="8" fillId="0" borderId="31" xfId="28" applyFont="1" applyBorder="1" applyAlignment="1">
      <alignment vertical="top"/>
    </xf>
    <xf numFmtId="38" fontId="7" fillId="0" borderId="2" xfId="14" applyFont="1" applyFill="1" applyBorder="1" applyAlignment="1">
      <alignment horizontal="center" vertical="top" wrapText="1"/>
    </xf>
    <xf numFmtId="38" fontId="7" fillId="0" borderId="22" xfId="14" applyFont="1" applyFill="1" applyBorder="1" applyAlignment="1">
      <alignment horizontal="center" vertical="top" wrapText="1"/>
    </xf>
    <xf numFmtId="168" fontId="6" fillId="9" borderId="23" xfId="31" applyNumberFormat="1" applyFont="1" applyFill="1" applyBorder="1" applyAlignment="1" applyProtection="1">
      <alignment horizontal="center" wrapText="1"/>
      <protection locked="0"/>
    </xf>
    <xf numFmtId="168" fontId="6" fillId="9" borderId="26" xfId="31" applyNumberFormat="1" applyFont="1" applyFill="1" applyBorder="1" applyAlignment="1" applyProtection="1">
      <alignment horizontal="center" wrapText="1"/>
      <protection locked="0"/>
    </xf>
    <xf numFmtId="168" fontId="6" fillId="9" borderId="2" xfId="31" applyNumberFormat="1" applyFont="1" applyFill="1" applyBorder="1" applyAlignment="1" applyProtection="1">
      <alignment horizontal="center"/>
      <protection locked="0"/>
    </xf>
    <xf numFmtId="168" fontId="6" fillId="9" borderId="2" xfId="31" applyNumberFormat="1" applyFont="1" applyFill="1" applyBorder="1" applyAlignment="1" applyProtection="1">
      <alignment horizontal="center" wrapText="1"/>
      <protection locked="0"/>
    </xf>
    <xf numFmtId="168" fontId="6" fillId="9" borderId="18" xfId="31" applyNumberFormat="1" applyFont="1" applyFill="1" applyBorder="1" applyAlignment="1" applyProtection="1">
      <alignment horizontal="center"/>
      <protection locked="0"/>
    </xf>
    <xf numFmtId="168" fontId="6" fillId="9" borderId="18" xfId="31" applyNumberFormat="1" applyFont="1" applyFill="1" applyBorder="1" applyAlignment="1" applyProtection="1">
      <alignment horizontal="center" wrapText="1"/>
      <protection locked="0"/>
    </xf>
    <xf numFmtId="165" fontId="12" fillId="0" borderId="2" xfId="28" applyNumberFormat="1" applyFont="1" applyFill="1" applyBorder="1" applyAlignment="1">
      <alignment horizontal="center" vertical="top"/>
    </xf>
    <xf numFmtId="38" fontId="2" fillId="3" borderId="51" xfId="17" applyFont="1" applyBorder="1" applyAlignment="1">
      <alignment vertical="top" wrapText="1"/>
    </xf>
    <xf numFmtId="38" fontId="8" fillId="3" borderId="54" xfId="15" applyFont="1" applyBorder="1" applyAlignment="1">
      <alignment horizontal="center" vertical="top" wrapText="1"/>
    </xf>
    <xf numFmtId="168" fontId="6" fillId="9" borderId="8" xfId="30" applyNumberFormat="1" applyFont="1" applyFill="1" applyBorder="1" applyAlignment="1" applyProtection="1">
      <protection locked="0"/>
    </xf>
    <xf numFmtId="0" fontId="8" fillId="0" borderId="28" xfId="0" applyFont="1" applyBorder="1" applyAlignment="1" applyProtection="1">
      <alignment horizontal="center" wrapText="1"/>
    </xf>
    <xf numFmtId="168" fontId="6" fillId="9" borderId="28" xfId="31" applyNumberFormat="1" applyFont="1" applyFill="1" applyBorder="1" applyAlignment="1" applyProtection="1">
      <alignment horizontal="center"/>
      <protection locked="0"/>
    </xf>
    <xf numFmtId="168" fontId="6" fillId="9" borderId="28" xfId="31" applyNumberFormat="1" applyFont="1" applyFill="1" applyBorder="1" applyAlignment="1" applyProtection="1">
      <alignment horizontal="center" wrapText="1"/>
      <protection locked="0"/>
    </xf>
    <xf numFmtId="168" fontId="7" fillId="0" borderId="33" xfId="30" applyNumberFormat="1" applyFont="1" applyFill="1" applyBorder="1" applyAlignment="1" applyProtection="1">
      <alignment horizontal="center" wrapText="1"/>
    </xf>
    <xf numFmtId="0" fontId="8" fillId="0" borderId="26"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6" fillId="0" borderId="0" xfId="0" applyFont="1" applyFill="1" applyProtection="1"/>
    <xf numFmtId="0" fontId="8" fillId="0" borderId="0" xfId="0" applyFont="1" applyFill="1" applyProtection="1"/>
    <xf numFmtId="0" fontId="47" fillId="0" borderId="0" xfId="0" applyFont="1" applyFill="1" applyProtection="1"/>
    <xf numFmtId="0" fontId="8" fillId="0" borderId="2" xfId="0" applyFont="1" applyFill="1" applyBorder="1" applyAlignment="1" applyProtection="1">
      <alignment horizontal="center" wrapText="1"/>
    </xf>
    <xf numFmtId="0" fontId="8" fillId="0" borderId="32" xfId="0" applyFont="1" applyFill="1" applyBorder="1" applyAlignment="1" applyProtection="1">
      <alignment horizontal="center" wrapText="1"/>
    </xf>
    <xf numFmtId="0" fontId="6" fillId="0" borderId="0" xfId="0" applyFont="1" applyFill="1" applyBorder="1" applyProtection="1"/>
    <xf numFmtId="168" fontId="26" fillId="0" borderId="0" xfId="30" applyNumberFormat="1" applyFont="1" applyFill="1" applyBorder="1" applyAlignment="1" applyProtection="1">
      <alignment horizontal="center" wrapText="1"/>
    </xf>
    <xf numFmtId="0" fontId="8" fillId="0" borderId="30" xfId="0" applyFont="1" applyFill="1" applyBorder="1" applyAlignment="1" applyProtection="1">
      <alignment horizontal="center" wrapText="1"/>
    </xf>
    <xf numFmtId="0" fontId="8" fillId="0" borderId="32" xfId="0" applyFont="1" applyFill="1" applyBorder="1" applyAlignment="1" applyProtection="1">
      <alignment horizontal="center"/>
    </xf>
    <xf numFmtId="0" fontId="8" fillId="0" borderId="0" xfId="0" applyFont="1" applyFill="1" applyBorder="1" applyAlignment="1" applyProtection="1"/>
    <xf numFmtId="168" fontId="26" fillId="0" borderId="0" xfId="30" applyNumberFormat="1" applyFont="1" applyFill="1" applyBorder="1" applyAlignment="1" applyProtection="1">
      <alignment horizontal="center" vertical="top" wrapText="1"/>
    </xf>
    <xf numFmtId="0" fontId="6" fillId="0" borderId="32" xfId="0" applyFont="1" applyFill="1" applyBorder="1" applyProtection="1"/>
    <xf numFmtId="1" fontId="6" fillId="0" borderId="0" xfId="0" applyNumberFormat="1" applyFont="1" applyFill="1" applyProtection="1"/>
    <xf numFmtId="0" fontId="39" fillId="0" borderId="0" xfId="0" applyFont="1" applyFill="1" applyBorder="1" applyAlignment="1" applyProtection="1">
      <alignment horizontal="left"/>
    </xf>
    <xf numFmtId="0" fontId="39" fillId="0" borderId="0" xfId="30" applyNumberFormat="1" applyFont="1" applyFill="1" applyBorder="1" applyAlignment="1" applyProtection="1">
      <alignment horizontal="left"/>
    </xf>
    <xf numFmtId="14" fontId="8" fillId="0" borderId="42" xfId="30" applyNumberFormat="1" applyFont="1" applyFill="1" applyBorder="1" applyAlignment="1" applyProtection="1">
      <alignment horizontal="center"/>
    </xf>
    <xf numFmtId="0" fontId="8" fillId="0" borderId="32" xfId="0" applyFont="1" applyFill="1" applyBorder="1" applyAlignment="1" applyProtection="1">
      <alignment wrapText="1"/>
    </xf>
    <xf numFmtId="0" fontId="7" fillId="0" borderId="32" xfId="0" applyFont="1" applyFill="1" applyBorder="1" applyAlignment="1" applyProtection="1">
      <alignment wrapText="1"/>
    </xf>
    <xf numFmtId="0" fontId="27" fillId="0" borderId="2" xfId="0" applyFont="1" applyFill="1" applyBorder="1" applyAlignment="1" applyProtection="1">
      <alignment wrapText="1"/>
    </xf>
    <xf numFmtId="168" fontId="6" fillId="9" borderId="23" xfId="31" applyNumberFormat="1" applyFont="1" applyFill="1" applyBorder="1" applyProtection="1">
      <protection locked="0"/>
    </xf>
    <xf numFmtId="168" fontId="6" fillId="9" borderId="22" xfId="31" applyNumberFormat="1" applyFont="1" applyFill="1" applyBorder="1" applyAlignment="1" applyProtection="1">
      <protection locked="0"/>
    </xf>
    <xf numFmtId="168" fontId="6" fillId="9" borderId="2" xfId="31" applyNumberFormat="1" applyFont="1" applyFill="1" applyBorder="1" applyAlignment="1" applyProtection="1">
      <protection locked="0"/>
    </xf>
    <xf numFmtId="168" fontId="6" fillId="9" borderId="34" xfId="31" applyNumberFormat="1" applyFont="1" applyFill="1" applyBorder="1" applyAlignment="1" applyProtection="1">
      <alignment vertical="top"/>
      <protection locked="0"/>
    </xf>
    <xf numFmtId="168" fontId="6" fillId="9" borderId="23" xfId="31" applyNumberFormat="1" applyFont="1" applyFill="1" applyBorder="1" applyAlignment="1" applyProtection="1">
      <alignment horizontal="center" vertical="top"/>
      <protection locked="0"/>
    </xf>
    <xf numFmtId="168" fontId="6" fillId="9" borderId="22" xfId="31" applyNumberFormat="1" applyFont="1" applyFill="1" applyBorder="1" applyAlignment="1" applyProtection="1">
      <alignment vertical="top"/>
      <protection locked="0"/>
    </xf>
    <xf numFmtId="168" fontId="6" fillId="9" borderId="2" xfId="31" applyNumberFormat="1" applyFont="1" applyFill="1" applyBorder="1" applyAlignment="1" applyProtection="1">
      <alignment vertical="top"/>
      <protection locked="0"/>
    </xf>
    <xf numFmtId="168" fontId="6" fillId="9" borderId="27" xfId="31" applyNumberFormat="1" applyFont="1" applyFill="1" applyBorder="1" applyAlignment="1" applyProtection="1">
      <protection locked="0"/>
    </xf>
    <xf numFmtId="168" fontId="6" fillId="9" borderId="26" xfId="31" applyNumberFormat="1" applyFont="1" applyFill="1" applyBorder="1" applyProtection="1">
      <protection locked="0"/>
    </xf>
    <xf numFmtId="168" fontId="6" fillId="9" borderId="28" xfId="31" applyNumberFormat="1" applyFont="1" applyFill="1" applyBorder="1" applyAlignment="1" applyProtection="1">
      <protection locked="0"/>
    </xf>
    <xf numFmtId="168" fontId="6" fillId="9" borderId="50" xfId="31" applyNumberFormat="1" applyFont="1" applyFill="1" applyBorder="1" applyAlignment="1" applyProtection="1">
      <alignment horizontal="center" wrapText="1"/>
      <protection locked="0"/>
    </xf>
    <xf numFmtId="168" fontId="6" fillId="9" borderId="49" xfId="31" applyNumberFormat="1" applyFont="1" applyFill="1" applyBorder="1" applyAlignment="1" applyProtection="1">
      <alignment horizontal="center" wrapText="1"/>
      <protection locked="0"/>
    </xf>
    <xf numFmtId="168" fontId="6" fillId="9" borderId="34" xfId="31" applyNumberFormat="1" applyFont="1" applyFill="1" applyBorder="1" applyAlignment="1" applyProtection="1">
      <alignment horizontal="center"/>
      <protection locked="0"/>
    </xf>
    <xf numFmtId="168" fontId="6" fillId="9" borderId="50" xfId="31" applyNumberFormat="1" applyFont="1" applyFill="1" applyBorder="1" applyAlignment="1" applyProtection="1">
      <alignment vertical="top"/>
      <protection locked="0"/>
    </xf>
    <xf numFmtId="168" fontId="6" fillId="9" borderId="55" xfId="31" applyNumberFormat="1" applyFont="1" applyFill="1" applyBorder="1" applyAlignment="1" applyProtection="1">
      <alignment vertical="top"/>
      <protection locked="0"/>
    </xf>
    <xf numFmtId="168" fontId="6" fillId="9" borderId="28" xfId="31" applyNumberFormat="1" applyFont="1" applyFill="1" applyBorder="1" applyAlignment="1" applyProtection="1">
      <alignment vertical="top"/>
      <protection locked="0"/>
    </xf>
    <xf numFmtId="168" fontId="6" fillId="9" borderId="50" xfId="31" applyNumberFormat="1" applyFont="1" applyFill="1" applyBorder="1" applyAlignment="1" applyProtection="1">
      <protection locked="0"/>
    </xf>
    <xf numFmtId="168" fontId="6" fillId="9" borderId="55" xfId="31" applyNumberFormat="1" applyFont="1" applyFill="1" applyBorder="1" applyAlignment="1" applyProtection="1">
      <protection locked="0"/>
    </xf>
    <xf numFmtId="168" fontId="6" fillId="9" borderId="42" xfId="31" applyNumberFormat="1" applyFont="1" applyFill="1" applyBorder="1" applyAlignment="1" applyProtection="1">
      <protection locked="0"/>
    </xf>
    <xf numFmtId="168" fontId="6" fillId="9" borderId="18" xfId="31" applyNumberFormat="1" applyFont="1" applyFill="1" applyBorder="1" applyAlignment="1" applyProtection="1">
      <protection locked="0"/>
    </xf>
    <xf numFmtId="168" fontId="6" fillId="9" borderId="49" xfId="31" applyNumberFormat="1" applyFont="1" applyFill="1" applyBorder="1" applyAlignment="1" applyProtection="1">
      <protection locked="0"/>
    </xf>
    <xf numFmtId="168" fontId="6" fillId="9" borderId="49" xfId="31" applyNumberFormat="1" applyFont="1" applyFill="1" applyBorder="1" applyAlignment="1" applyProtection="1">
      <alignment vertical="top"/>
      <protection locked="0"/>
    </xf>
    <xf numFmtId="168" fontId="6" fillId="9" borderId="18" xfId="31" applyNumberFormat="1" applyFont="1" applyFill="1" applyBorder="1" applyAlignment="1" applyProtection="1">
      <alignment vertical="top"/>
      <protection locked="0"/>
    </xf>
    <xf numFmtId="168" fontId="6" fillId="9" borderId="50" xfId="30" applyNumberFormat="1" applyFont="1" applyFill="1" applyBorder="1" applyAlignment="1" applyProtection="1">
      <alignment horizontal="center"/>
      <protection locked="0"/>
    </xf>
    <xf numFmtId="168" fontId="6" fillId="9" borderId="49" xfId="30" applyNumberFormat="1" applyFont="1" applyFill="1" applyBorder="1" applyAlignment="1" applyProtection="1">
      <alignment horizontal="center"/>
      <protection locked="0"/>
    </xf>
    <xf numFmtId="168" fontId="6" fillId="9" borderId="56" xfId="30" applyNumberFormat="1" applyFont="1" applyFill="1" applyBorder="1" applyAlignment="1" applyProtection="1">
      <alignment horizontal="center" wrapText="1"/>
      <protection locked="0"/>
    </xf>
    <xf numFmtId="168" fontId="6" fillId="9" borderId="51" xfId="30" applyNumberFormat="1" applyFont="1" applyFill="1" applyBorder="1" applyAlignment="1" applyProtection="1">
      <alignment horizontal="center" wrapText="1"/>
      <protection locked="0"/>
    </xf>
    <xf numFmtId="168" fontId="6" fillId="9" borderId="51" xfId="31" applyNumberFormat="1" applyFont="1" applyFill="1" applyBorder="1" applyAlignment="1" applyProtection="1">
      <alignment horizontal="center" wrapText="1"/>
      <protection locked="0"/>
    </xf>
    <xf numFmtId="0" fontId="8" fillId="0" borderId="34" xfId="0" applyFont="1" applyFill="1" applyBorder="1" applyAlignment="1" applyProtection="1">
      <alignment horizontal="center" wrapText="1"/>
    </xf>
    <xf numFmtId="14" fontId="8" fillId="0" borderId="22" xfId="0" applyNumberFormat="1" applyFont="1" applyFill="1" applyBorder="1" applyAlignment="1" applyProtection="1">
      <alignment horizontal="center"/>
    </xf>
    <xf numFmtId="14" fontId="8" fillId="0" borderId="42" xfId="0" applyNumberFormat="1" applyFont="1" applyFill="1" applyBorder="1" applyAlignment="1" applyProtection="1">
      <alignment horizontal="center"/>
    </xf>
    <xf numFmtId="0" fontId="8" fillId="0" borderId="23" xfId="0" applyFont="1" applyFill="1" applyBorder="1" applyAlignment="1" applyProtection="1">
      <alignment wrapText="1"/>
    </xf>
    <xf numFmtId="0" fontId="6" fillId="0" borderId="23" xfId="0" applyFont="1" applyFill="1" applyBorder="1" applyAlignment="1" applyProtection="1">
      <alignment horizontal="center" wrapText="1"/>
    </xf>
    <xf numFmtId="9" fontId="8" fillId="0" borderId="19" xfId="28" applyFont="1" applyFill="1" applyBorder="1" applyAlignment="1" applyProtection="1">
      <alignment horizontal="center" wrapText="1"/>
    </xf>
    <xf numFmtId="9" fontId="8" fillId="0" borderId="31" xfId="28" applyFont="1" applyFill="1" applyBorder="1" applyAlignment="1" applyProtection="1">
      <alignment horizontal="center" wrapText="1"/>
    </xf>
    <xf numFmtId="0" fontId="8" fillId="0" borderId="23" xfId="0" applyFont="1" applyFill="1" applyBorder="1" applyAlignment="1" applyProtection="1">
      <alignment horizontal="left" wrapText="1"/>
      <protection hidden="1"/>
    </xf>
    <xf numFmtId="0" fontId="6" fillId="0" borderId="23" xfId="0" applyFont="1" applyFill="1" applyBorder="1" applyAlignment="1" applyProtection="1">
      <alignment horizontal="center"/>
    </xf>
    <xf numFmtId="0" fontId="8" fillId="0" borderId="30" xfId="0" applyFont="1" applyFill="1" applyBorder="1" applyAlignment="1" applyProtection="1">
      <alignment horizontal="center"/>
    </xf>
    <xf numFmtId="9" fontId="8" fillId="0" borderId="19" xfId="28" applyFont="1" applyFill="1" applyBorder="1" applyAlignment="1" applyProtection="1">
      <alignment horizontal="center"/>
    </xf>
    <xf numFmtId="9" fontId="8" fillId="0" borderId="31" xfId="28" applyFont="1" applyFill="1" applyBorder="1" applyAlignment="1" applyProtection="1">
      <alignment horizontal="center"/>
    </xf>
    <xf numFmtId="0" fontId="8" fillId="0" borderId="34" xfId="0" applyFont="1" applyFill="1" applyBorder="1" applyAlignment="1" applyProtection="1">
      <alignment horizontal="center"/>
    </xf>
    <xf numFmtId="0" fontId="6" fillId="0" borderId="23" xfId="0" applyFont="1" applyFill="1" applyBorder="1" applyAlignment="1" applyProtection="1">
      <alignment wrapText="1"/>
    </xf>
    <xf numFmtId="0" fontId="8" fillId="0" borderId="30" xfId="0" applyFont="1" applyFill="1" applyBorder="1" applyAlignment="1" applyProtection="1">
      <alignment wrapText="1"/>
    </xf>
    <xf numFmtId="0" fontId="8" fillId="0" borderId="23" xfId="0" applyFont="1" applyFill="1" applyBorder="1" applyAlignment="1" applyProtection="1">
      <alignment horizontal="center"/>
    </xf>
    <xf numFmtId="0" fontId="27" fillId="0" borderId="23" xfId="0" applyFont="1" applyFill="1" applyBorder="1" applyAlignment="1" applyProtection="1"/>
    <xf numFmtId="0" fontId="27" fillId="0" borderId="18" xfId="0" applyFont="1" applyFill="1" applyBorder="1" applyAlignment="1" applyProtection="1">
      <alignment wrapText="1"/>
    </xf>
    <xf numFmtId="0" fontId="7" fillId="0" borderId="30" xfId="0" applyFont="1" applyFill="1" applyBorder="1" applyAlignment="1" applyProtection="1">
      <alignment horizontal="center" wrapText="1"/>
    </xf>
    <xf numFmtId="9" fontId="7" fillId="0" borderId="19" xfId="28" applyFont="1" applyFill="1" applyBorder="1" applyAlignment="1" applyProtection="1">
      <alignment horizontal="center" wrapText="1"/>
    </xf>
    <xf numFmtId="9" fontId="7" fillId="0" borderId="31" xfId="28" applyFont="1" applyFill="1" applyBorder="1" applyAlignment="1" applyProtection="1">
      <alignment horizontal="center" wrapText="1"/>
    </xf>
    <xf numFmtId="168" fontId="26" fillId="0" borderId="25" xfId="30" applyNumberFormat="1" applyFont="1" applyFill="1" applyBorder="1" applyAlignment="1" applyProtection="1">
      <alignment horizontal="center" vertical="top" wrapText="1"/>
    </xf>
    <xf numFmtId="0" fontId="6" fillId="0" borderId="30" xfId="0" applyFont="1" applyFill="1" applyBorder="1" applyAlignment="1" applyProtection="1">
      <alignment wrapText="1"/>
    </xf>
    <xf numFmtId="0" fontId="8" fillId="0" borderId="34" xfId="0" applyFont="1" applyFill="1" applyBorder="1" applyAlignment="1" applyProtection="1"/>
    <xf numFmtId="14" fontId="8" fillId="0" borderId="22" xfId="30" applyNumberFormat="1" applyFont="1" applyFill="1" applyBorder="1" applyAlignment="1" applyProtection="1">
      <alignment horizontal="center"/>
    </xf>
    <xf numFmtId="168" fontId="56" fillId="0" borderId="0" xfId="30" applyNumberFormat="1" applyFont="1" applyFill="1"/>
    <xf numFmtId="175" fontId="8" fillId="0" borderId="0" xfId="0" applyNumberFormat="1" applyFont="1" applyFill="1" applyAlignment="1">
      <alignment wrapText="1"/>
    </xf>
    <xf numFmtId="175" fontId="6" fillId="0" borderId="0" xfId="0" applyNumberFormat="1" applyFont="1" applyFill="1" applyAlignment="1">
      <alignment wrapText="1"/>
    </xf>
    <xf numFmtId="9" fontId="6" fillId="0" borderId="0" xfId="28" applyFont="1" applyFill="1" applyAlignment="1">
      <alignment horizontal="center"/>
    </xf>
    <xf numFmtId="1" fontId="8" fillId="0" borderId="0" xfId="0" applyNumberFormat="1" applyFont="1" applyFill="1" applyAlignment="1">
      <alignment vertical="top"/>
    </xf>
    <xf numFmtId="1" fontId="8" fillId="0" borderId="0" xfId="0" applyNumberFormat="1" applyFont="1" applyFill="1" applyAlignment="1">
      <alignment vertical="center"/>
    </xf>
    <xf numFmtId="167" fontId="6" fillId="0" borderId="0" xfId="30" applyNumberFormat="1" applyFont="1" applyFill="1"/>
    <xf numFmtId="165" fontId="6" fillId="0" borderId="0" xfId="28" applyNumberFormat="1" applyFont="1" applyFill="1"/>
    <xf numFmtId="9" fontId="6" fillId="0" borderId="0" xfId="28" applyNumberFormat="1" applyFont="1" applyFill="1" applyAlignment="1">
      <alignment horizontal="center"/>
    </xf>
    <xf numFmtId="0" fontId="8" fillId="0" borderId="0" xfId="0" applyFont="1" applyFill="1" applyAlignment="1">
      <alignment wrapText="1"/>
    </xf>
    <xf numFmtId="0" fontId="57" fillId="0" borderId="0" xfId="0" applyFont="1" applyFill="1"/>
    <xf numFmtId="9" fontId="8" fillId="0" borderId="0" xfId="28" applyFont="1" applyFill="1"/>
    <xf numFmtId="1" fontId="35" fillId="0" borderId="0" xfId="0" applyNumberFormat="1" applyFont="1" applyAlignment="1">
      <alignment horizontal="center"/>
    </xf>
    <xf numFmtId="49" fontId="57" fillId="0" borderId="0" xfId="0" applyNumberFormat="1" applyFont="1" applyFill="1" applyAlignment="1">
      <alignment horizontal="center"/>
    </xf>
    <xf numFmtId="168" fontId="6" fillId="9" borderId="26" xfId="30" applyNumberFormat="1" applyFont="1" applyFill="1" applyBorder="1" applyAlignment="1" applyProtection="1">
      <protection locked="0"/>
    </xf>
    <xf numFmtId="14" fontId="8" fillId="0" borderId="18" xfId="30" applyNumberFormat="1" applyFont="1" applyBorder="1" applyAlignment="1" applyProtection="1">
      <alignment horizontal="center" wrapText="1"/>
    </xf>
    <xf numFmtId="14" fontId="8" fillId="0" borderId="26" xfId="30" applyNumberFormat="1" applyFont="1" applyBorder="1" applyAlignment="1" applyProtection="1">
      <alignment horizontal="center" wrapText="1"/>
    </xf>
    <xf numFmtId="14" fontId="8" fillId="0" borderId="23" xfId="30" applyNumberFormat="1" applyFont="1" applyBorder="1" applyAlignment="1" applyProtection="1">
      <alignment horizontal="center" wrapText="1"/>
    </xf>
    <xf numFmtId="168" fontId="6" fillId="9" borderId="23" xfId="30" applyNumberFormat="1" applyFont="1" applyFill="1" applyBorder="1" applyAlignment="1" applyProtection="1">
      <protection locked="0"/>
    </xf>
    <xf numFmtId="0" fontId="8" fillId="0" borderId="16" xfId="0" applyFont="1" applyBorder="1" applyAlignment="1" applyProtection="1">
      <alignment wrapText="1"/>
    </xf>
    <xf numFmtId="168" fontId="6" fillId="9" borderId="29" xfId="30" applyNumberFormat="1" applyFont="1" applyFill="1" applyBorder="1" applyAlignment="1" applyProtection="1">
      <protection locked="0"/>
    </xf>
    <xf numFmtId="14" fontId="8" fillId="0" borderId="28" xfId="30" applyNumberFormat="1" applyFont="1" applyBorder="1" applyAlignment="1" applyProtection="1">
      <alignment horizontal="center" wrapText="1"/>
    </xf>
    <xf numFmtId="168" fontId="6" fillId="9" borderId="33" xfId="30" applyNumberFormat="1" applyFont="1" applyFill="1" applyBorder="1" applyAlignment="1" applyProtection="1">
      <protection locked="0"/>
    </xf>
    <xf numFmtId="9" fontId="6" fillId="0" borderId="2" xfId="28" applyFont="1" applyFill="1" applyBorder="1" applyAlignment="1" applyProtection="1">
      <alignment horizontal="center" wrapText="1"/>
    </xf>
    <xf numFmtId="9" fontId="6" fillId="0" borderId="18" xfId="28" applyFont="1" applyFill="1" applyBorder="1" applyAlignment="1" applyProtection="1">
      <alignment horizontal="center" wrapText="1"/>
    </xf>
    <xf numFmtId="9" fontId="6" fillId="0" borderId="2" xfId="28" applyFont="1" applyFill="1" applyBorder="1" applyAlignment="1" applyProtection="1">
      <alignment horizontal="center"/>
    </xf>
    <xf numFmtId="9" fontId="6" fillId="0" borderId="18" xfId="28" applyFont="1" applyFill="1" applyBorder="1" applyAlignment="1" applyProtection="1">
      <alignment horizontal="center"/>
    </xf>
    <xf numFmtId="9" fontId="6" fillId="0" borderId="2" xfId="28" applyNumberFormat="1" applyFont="1" applyFill="1" applyBorder="1" applyAlignment="1" applyProtection="1">
      <alignment horizontal="center"/>
    </xf>
    <xf numFmtId="9" fontId="6" fillId="0" borderId="2" xfId="28" applyFont="1" applyFill="1" applyBorder="1" applyAlignment="1" applyProtection="1">
      <alignment horizontal="center" vertical="top"/>
    </xf>
    <xf numFmtId="9" fontId="6" fillId="0" borderId="18" xfId="28" applyFont="1" applyFill="1" applyBorder="1" applyAlignment="1" applyProtection="1">
      <alignment horizontal="center" vertical="top"/>
    </xf>
    <xf numFmtId="168" fontId="6" fillId="0" borderId="23" xfId="30" applyNumberFormat="1" applyFont="1" applyFill="1" applyBorder="1" applyAlignment="1" applyProtection="1">
      <alignment horizontal="left" wrapText="1"/>
    </xf>
    <xf numFmtId="165" fontId="6" fillId="0" borderId="2" xfId="28" applyNumberFormat="1" applyFont="1" applyFill="1" applyBorder="1" applyAlignment="1" applyProtection="1">
      <alignment horizontal="center" wrapText="1"/>
    </xf>
    <xf numFmtId="165" fontId="6" fillId="0" borderId="18" xfId="28" applyNumberFormat="1" applyFont="1" applyFill="1" applyBorder="1" applyAlignment="1" applyProtection="1">
      <alignment horizontal="center" wrapText="1"/>
    </xf>
    <xf numFmtId="9" fontId="6" fillId="0" borderId="19" xfId="28" applyFont="1" applyFill="1" applyBorder="1" applyAlignment="1" applyProtection="1">
      <alignment horizontal="center"/>
    </xf>
    <xf numFmtId="9" fontId="6" fillId="0" borderId="31" xfId="28" applyFont="1" applyFill="1" applyBorder="1" applyAlignment="1" applyProtection="1">
      <alignment horizontal="center"/>
    </xf>
    <xf numFmtId="14" fontId="8" fillId="0" borderId="15" xfId="0" applyNumberFormat="1" applyFont="1" applyBorder="1" applyAlignment="1" applyProtection="1">
      <alignment horizontal="center"/>
    </xf>
    <xf numFmtId="14" fontId="8" fillId="0" borderId="40" xfId="0" applyNumberFormat="1" applyFont="1" applyBorder="1" applyAlignment="1" applyProtection="1">
      <alignment horizontal="center"/>
    </xf>
    <xf numFmtId="14" fontId="8" fillId="0" borderId="12" xfId="0" applyNumberFormat="1" applyFont="1" applyBorder="1" applyAlignment="1" applyProtection="1">
      <alignment horizontal="center"/>
    </xf>
    <xf numFmtId="176" fontId="6" fillId="0" borderId="8" xfId="31" applyNumberFormat="1" applyFont="1" applyFill="1" applyBorder="1" applyAlignment="1" applyProtection="1">
      <alignment horizontal="right" vertical="top" wrapText="1"/>
    </xf>
    <xf numFmtId="9" fontId="6" fillId="0" borderId="8" xfId="28" applyFont="1" applyFill="1" applyBorder="1" applyAlignment="1" applyProtection="1">
      <alignment horizontal="center" vertical="top" wrapText="1"/>
    </xf>
    <xf numFmtId="9" fontId="6" fillId="0" borderId="7" xfId="28" applyFont="1" applyFill="1" applyBorder="1" applyAlignment="1" applyProtection="1">
      <alignment horizontal="center" vertical="top" wrapText="1"/>
    </xf>
    <xf numFmtId="168" fontId="6" fillId="0" borderId="8" xfId="31" applyNumberFormat="1" applyFont="1" applyFill="1" applyBorder="1" applyAlignment="1" applyProtection="1">
      <alignment horizontal="right" vertical="top" wrapText="1"/>
    </xf>
    <xf numFmtId="168" fontId="6" fillId="0" borderId="8" xfId="30" applyNumberFormat="1" applyFont="1" applyFill="1" applyBorder="1" applyAlignment="1" applyProtection="1">
      <alignment horizontal="right" vertical="top" wrapText="1"/>
    </xf>
    <xf numFmtId="176" fontId="6" fillId="0" borderId="8" xfId="30" applyNumberFormat="1" applyFont="1" applyFill="1" applyBorder="1" applyAlignment="1" applyProtection="1">
      <alignment horizontal="right" vertical="top" wrapText="1"/>
    </xf>
    <xf numFmtId="168" fontId="6" fillId="0" borderId="11" xfId="31" applyNumberFormat="1" applyFont="1" applyFill="1" applyBorder="1" applyAlignment="1" applyProtection="1">
      <alignment horizontal="right" vertical="top" wrapText="1"/>
    </xf>
    <xf numFmtId="9" fontId="6" fillId="0" borderId="11" xfId="28" applyFont="1" applyFill="1" applyBorder="1" applyAlignment="1" applyProtection="1">
      <alignment horizontal="center" vertical="top" wrapText="1"/>
    </xf>
    <xf numFmtId="9" fontId="6" fillId="0" borderId="57" xfId="28" applyFont="1" applyFill="1" applyBorder="1" applyAlignment="1" applyProtection="1">
      <alignment horizontal="center" vertical="top" wrapText="1"/>
    </xf>
    <xf numFmtId="168" fontId="8" fillId="0" borderId="15" xfId="30" applyNumberFormat="1" applyFont="1" applyFill="1" applyBorder="1" applyAlignment="1" applyProtection="1">
      <alignment horizontal="right" vertical="top" wrapText="1"/>
    </xf>
    <xf numFmtId="9" fontId="8" fillId="0" borderId="10" xfId="28" applyFont="1" applyFill="1" applyBorder="1" applyAlignment="1" applyProtection="1">
      <alignment horizontal="center" vertical="top" wrapText="1"/>
    </xf>
    <xf numFmtId="14" fontId="8" fillId="0" borderId="10" xfId="0" applyNumberFormat="1" applyFont="1" applyBorder="1" applyAlignment="1" applyProtection="1">
      <alignment horizontal="center"/>
    </xf>
    <xf numFmtId="14" fontId="8" fillId="0" borderId="53" xfId="0" applyNumberFormat="1" applyFont="1" applyBorder="1" applyAlignment="1" applyProtection="1">
      <alignment horizontal="center"/>
    </xf>
    <xf numFmtId="9" fontId="8" fillId="0" borderId="8" xfId="28" applyFont="1" applyFill="1" applyBorder="1" applyAlignment="1" applyProtection="1">
      <alignment horizontal="center" vertical="top" wrapText="1"/>
    </xf>
    <xf numFmtId="9" fontId="8" fillId="0" borderId="7" xfId="28" applyFont="1" applyFill="1" applyBorder="1" applyAlignment="1" applyProtection="1">
      <alignment horizontal="center" vertical="top" wrapText="1"/>
    </xf>
    <xf numFmtId="168" fontId="6" fillId="0" borderId="7" xfId="30" applyNumberFormat="1" applyFont="1" applyFill="1" applyBorder="1" applyAlignment="1" applyProtection="1">
      <alignment horizontal="center" vertical="top" wrapText="1"/>
    </xf>
    <xf numFmtId="168" fontId="8" fillId="0" borderId="9" xfId="30" applyNumberFormat="1" applyFont="1" applyFill="1" applyBorder="1" applyProtection="1"/>
    <xf numFmtId="0" fontId="8" fillId="0" borderId="0" xfId="0" applyFont="1" applyFill="1" applyBorder="1" applyAlignment="1">
      <alignment horizontal="left" vertical="center" wrapText="1"/>
    </xf>
    <xf numFmtId="0" fontId="6" fillId="0" borderId="0" xfId="0" applyFont="1" applyFill="1" applyBorder="1"/>
    <xf numFmtId="0" fontId="8" fillId="0" borderId="0" xfId="0" applyFont="1" applyFill="1" applyBorder="1" applyAlignment="1">
      <alignment vertical="center" wrapText="1"/>
    </xf>
    <xf numFmtId="0" fontId="6" fillId="0" borderId="0" xfId="0" applyFont="1" applyFill="1" applyBorder="1" applyAlignment="1">
      <alignment wrapText="1"/>
    </xf>
    <xf numFmtId="0" fontId="18" fillId="0" borderId="0" xfId="0" applyFont="1" applyFill="1" applyBorder="1" applyAlignment="1">
      <alignment vertical="top" wrapText="1"/>
    </xf>
    <xf numFmtId="0" fontId="18" fillId="0" borderId="0" xfId="0" applyFont="1" applyFill="1" applyBorder="1" applyAlignment="1">
      <alignment horizontal="left" vertical="top" wrapText="1"/>
    </xf>
    <xf numFmtId="0" fontId="10" fillId="0" borderId="0" xfId="0" applyFont="1" applyBorder="1"/>
    <xf numFmtId="0" fontId="8" fillId="0" borderId="0" xfId="0" applyFont="1" applyFill="1" applyBorder="1" applyAlignment="1">
      <alignment wrapText="1"/>
    </xf>
    <xf numFmtId="0" fontId="49" fillId="0" borderId="0" xfId="0" applyFont="1" applyFill="1" applyBorder="1" applyAlignment="1">
      <alignment vertical="top" wrapText="1"/>
    </xf>
    <xf numFmtId="0" fontId="7" fillId="0" borderId="0" xfId="0" applyFont="1" applyFill="1" applyBorder="1" applyAlignment="1">
      <alignment vertical="top" wrapText="1"/>
    </xf>
    <xf numFmtId="0" fontId="19" fillId="0" borderId="0" xfId="0" applyFont="1" applyFill="1" applyBorder="1" applyAlignment="1">
      <alignment vertical="top" wrapText="1"/>
    </xf>
    <xf numFmtId="0" fontId="19" fillId="0" borderId="0" xfId="0" applyFont="1" applyFill="1" applyBorder="1" applyAlignment="1">
      <alignment horizontal="left" wrapText="1"/>
    </xf>
    <xf numFmtId="0" fontId="8" fillId="0" borderId="0" xfId="0" applyFont="1" applyFill="1" applyBorder="1" applyAlignment="1">
      <alignment horizontal="center"/>
    </xf>
    <xf numFmtId="38" fontId="7" fillId="0" borderId="0" xfId="14" applyFont="1" applyFill="1" applyBorder="1" applyAlignment="1">
      <alignment horizontal="center" vertical="top" wrapText="1"/>
    </xf>
    <xf numFmtId="38" fontId="7" fillId="0" borderId="0" xfId="14" applyFont="1" applyFill="1" applyBorder="1" applyAlignment="1">
      <alignment vertical="top" wrapText="1"/>
    </xf>
    <xf numFmtId="38" fontId="8" fillId="0" borderId="0" xfId="15" applyFont="1" applyFill="1" applyBorder="1" applyAlignment="1">
      <alignment horizontal="center" vertical="top" wrapText="1"/>
    </xf>
    <xf numFmtId="38" fontId="2" fillId="0" borderId="0" xfId="13" applyFont="1" applyFill="1" applyBorder="1">
      <alignment horizontal="center" wrapText="1"/>
    </xf>
    <xf numFmtId="38" fontId="2" fillId="0" borderId="0" xfId="7" applyFont="1" applyFill="1" applyBorder="1">
      <alignment horizontal="center" vertical="top" wrapText="1"/>
    </xf>
    <xf numFmtId="38" fontId="8" fillId="0" borderId="0" xfId="15" applyFont="1" applyFill="1" applyBorder="1" applyAlignment="1">
      <alignment vertical="top" wrapText="1"/>
    </xf>
    <xf numFmtId="0" fontId="8" fillId="0" borderId="0" xfId="7" applyNumberFormat="1" applyFont="1" applyFill="1" applyBorder="1">
      <alignment horizontal="center" vertical="top" wrapText="1"/>
    </xf>
    <xf numFmtId="0" fontId="2" fillId="0" borderId="0" xfId="7" applyNumberFormat="1" applyFont="1" applyFill="1" applyBorder="1">
      <alignment horizontal="center" vertical="top" wrapText="1"/>
    </xf>
    <xf numFmtId="38" fontId="2" fillId="0" borderId="0" xfId="13" applyFont="1" applyFill="1" applyBorder="1" applyAlignment="1">
      <alignment horizontal="center" wrapText="1"/>
    </xf>
    <xf numFmtId="38" fontId="2" fillId="0" borderId="0" xfId="7" applyFont="1" applyFill="1" applyBorder="1" applyAlignment="1">
      <alignment horizontal="center" vertical="top" wrapText="1"/>
    </xf>
    <xf numFmtId="38" fontId="6" fillId="0" borderId="0" xfId="15" applyFont="1" applyFill="1" applyBorder="1" applyAlignment="1">
      <alignment horizontal="center" vertical="top" wrapText="1"/>
    </xf>
    <xf numFmtId="0" fontId="8" fillId="0" borderId="0" xfId="15" applyNumberFormat="1" applyFont="1" applyFill="1" applyBorder="1" applyAlignment="1">
      <alignment horizontal="center" vertical="top" wrapText="1"/>
    </xf>
    <xf numFmtId="175" fontId="6" fillId="0" borderId="0" xfId="0" applyNumberFormat="1" applyFont="1" applyFill="1" applyBorder="1"/>
    <xf numFmtId="175" fontId="8" fillId="0" borderId="0" xfId="0" applyNumberFormat="1" applyFont="1" applyFill="1" applyBorder="1"/>
    <xf numFmtId="0" fontId="6" fillId="0" borderId="0" xfId="0" applyFont="1" applyBorder="1" applyAlignment="1" applyProtection="1">
      <alignment horizontal="left" wrapText="1"/>
      <protection locked="0"/>
    </xf>
    <xf numFmtId="0" fontId="6" fillId="0" borderId="0" xfId="0" applyFont="1" applyBorder="1" applyAlignment="1" applyProtection="1">
      <alignment wrapText="1"/>
      <protection locked="0"/>
    </xf>
    <xf numFmtId="0" fontId="6" fillId="0" borderId="0" xfId="0" applyFont="1" applyBorder="1" applyAlignment="1" applyProtection="1">
      <alignment horizontal="left"/>
      <protection locked="0" hidden="1"/>
    </xf>
    <xf numFmtId="0" fontId="6" fillId="0" borderId="0" xfId="0" applyFont="1" applyBorder="1" applyAlignment="1" applyProtection="1">
      <alignment horizontal="left"/>
      <protection locked="0"/>
    </xf>
    <xf numFmtId="0" fontId="6" fillId="0" borderId="0" xfId="0" applyFont="1" applyBorder="1" applyAlignment="1">
      <alignment wrapText="1"/>
    </xf>
    <xf numFmtId="0" fontId="6" fillId="0" borderId="0" xfId="0" applyFont="1" applyBorder="1" applyAlignment="1" applyProtection="1">
      <alignment horizontal="left" indent="1"/>
      <protection locked="0"/>
    </xf>
    <xf numFmtId="0" fontId="6" fillId="0" borderId="0" xfId="0" applyFont="1" applyBorder="1" applyAlignment="1" applyProtection="1">
      <alignment horizontal="left" wrapText="1"/>
    </xf>
    <xf numFmtId="0" fontId="6" fillId="0" borderId="0" xfId="0" applyFont="1" applyFill="1" applyBorder="1" applyAlignment="1" applyProtection="1">
      <alignment horizontal="left" wrapText="1"/>
      <protection locked="0"/>
    </xf>
    <xf numFmtId="0" fontId="6" fillId="0" borderId="0" xfId="0" applyFont="1" applyBorder="1"/>
    <xf numFmtId="168" fontId="6" fillId="0" borderId="0" xfId="30" applyNumberFormat="1" applyFont="1" applyBorder="1" applyAlignment="1" applyProtection="1">
      <alignment horizontal="center"/>
      <protection locked="0"/>
    </xf>
    <xf numFmtId="166" fontId="8" fillId="11" borderId="0" xfId="0" applyNumberFormat="1" applyFont="1" applyFill="1" applyBorder="1" applyAlignment="1">
      <alignment horizontal="center"/>
    </xf>
    <xf numFmtId="0" fontId="19" fillId="0" borderId="0" xfId="0" applyFont="1" applyFill="1" applyBorder="1"/>
    <xf numFmtId="0" fontId="6" fillId="0" borderId="0" xfId="15" applyNumberFormat="1" applyFont="1" applyFill="1" applyBorder="1" applyAlignment="1">
      <alignment horizontal="center" vertical="top" wrapText="1"/>
    </xf>
    <xf numFmtId="0" fontId="6" fillId="0" borderId="0" xfId="15"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xf>
    <xf numFmtId="173" fontId="6" fillId="0" borderId="0" xfId="0" applyNumberFormat="1" applyFont="1" applyFill="1" applyBorder="1" applyAlignment="1">
      <alignment horizontal="left"/>
    </xf>
    <xf numFmtId="173" fontId="6" fillId="0" borderId="0" xfId="0" applyNumberFormat="1" applyFont="1" applyFill="1" applyBorder="1"/>
    <xf numFmtId="0" fontId="6" fillId="0" borderId="0" xfId="0" applyFont="1" applyFill="1" applyBorder="1" applyAlignment="1">
      <alignment vertical="center" wrapText="1"/>
    </xf>
    <xf numFmtId="0" fontId="6" fillId="0" borderId="0" xfId="0" applyFont="1" applyFill="1" applyBorder="1" applyAlignment="1"/>
    <xf numFmtId="0" fontId="58" fillId="13" borderId="2" xfId="0" applyFont="1" applyFill="1" applyBorder="1" applyAlignment="1" applyProtection="1">
      <alignment horizontal="center" vertical="top" wrapText="1"/>
    </xf>
    <xf numFmtId="0" fontId="57" fillId="13" borderId="2" xfId="0" applyFont="1" applyFill="1" applyBorder="1" applyAlignment="1" applyProtection="1">
      <alignment horizontal="center"/>
      <protection locked="0"/>
    </xf>
    <xf numFmtId="0" fontId="6" fillId="13" borderId="2" xfId="0" applyFont="1" applyFill="1" applyBorder="1" applyProtection="1">
      <protection locked="0"/>
    </xf>
    <xf numFmtId="0" fontId="6" fillId="13" borderId="2" xfId="0" applyFont="1" applyFill="1" applyBorder="1" applyAlignment="1" applyProtection="1">
      <alignment horizontal="right"/>
      <protection locked="0"/>
    </xf>
    <xf numFmtId="10" fontId="6" fillId="13" borderId="2" xfId="28" applyNumberFormat="1" applyFont="1" applyFill="1" applyBorder="1" applyAlignment="1" applyProtection="1">
      <alignment horizontal="right"/>
      <protection locked="0"/>
    </xf>
    <xf numFmtId="0" fontId="58" fillId="13" borderId="22" xfId="0" applyFont="1" applyFill="1" applyBorder="1" applyAlignment="1">
      <alignment horizontal="center"/>
    </xf>
    <xf numFmtId="0" fontId="58" fillId="13" borderId="42" xfId="0" applyFont="1" applyFill="1" applyBorder="1" applyAlignment="1">
      <alignment horizontal="center"/>
    </xf>
    <xf numFmtId="0" fontId="58" fillId="13" borderId="18" xfId="0" applyFont="1" applyFill="1" applyBorder="1" applyAlignment="1" applyProtection="1">
      <alignment horizontal="center" vertical="top" wrapText="1"/>
    </xf>
    <xf numFmtId="0" fontId="8" fillId="0" borderId="23" xfId="0" applyFont="1" applyFill="1" applyBorder="1" applyProtection="1"/>
    <xf numFmtId="0" fontId="58" fillId="13" borderId="23" xfId="0" applyFont="1" applyFill="1" applyBorder="1" applyProtection="1"/>
    <xf numFmtId="0" fontId="57" fillId="13" borderId="18" xfId="0" applyFont="1" applyFill="1" applyBorder="1" applyAlignment="1" applyProtection="1">
      <alignment horizontal="center"/>
      <protection locked="0"/>
    </xf>
    <xf numFmtId="0" fontId="6" fillId="0" borderId="23" xfId="0" applyFont="1" applyFill="1" applyBorder="1" applyProtection="1"/>
    <xf numFmtId="0" fontId="6" fillId="13" borderId="18" xfId="0" applyFont="1" applyFill="1" applyBorder="1" applyProtection="1">
      <protection locked="0"/>
    </xf>
    <xf numFmtId="0" fontId="6" fillId="13" borderId="18" xfId="0" applyFont="1" applyFill="1" applyBorder="1" applyAlignment="1" applyProtection="1">
      <alignment horizontal="right"/>
      <protection locked="0"/>
    </xf>
    <xf numFmtId="10" fontId="6" fillId="13" borderId="18" xfId="28" applyNumberFormat="1" applyFont="1" applyFill="1" applyBorder="1" applyAlignment="1" applyProtection="1">
      <alignment horizontal="right"/>
      <protection locked="0"/>
    </xf>
    <xf numFmtId="0" fontId="8" fillId="0" borderId="30" xfId="0" applyFont="1" applyFill="1" applyBorder="1" applyProtection="1"/>
    <xf numFmtId="0" fontId="8" fillId="0" borderId="60" xfId="0" applyFont="1" applyFill="1" applyBorder="1" applyProtection="1"/>
    <xf numFmtId="10" fontId="6" fillId="0" borderId="61" xfId="28" applyNumberFormat="1" applyFont="1" applyFill="1" applyBorder="1" applyAlignment="1" applyProtection="1">
      <alignment horizontal="right"/>
      <protection locked="0"/>
    </xf>
    <xf numFmtId="10" fontId="6" fillId="0" borderId="62" xfId="28" applyNumberFormat="1" applyFont="1" applyFill="1" applyBorder="1" applyAlignment="1" applyProtection="1">
      <alignment horizontal="right"/>
      <protection locked="0"/>
    </xf>
    <xf numFmtId="0" fontId="8" fillId="0" borderId="34" xfId="0" applyFont="1" applyFill="1" applyBorder="1" applyProtection="1"/>
    <xf numFmtId="0" fontId="59" fillId="0" borderId="0" xfId="0" applyFont="1" applyFill="1"/>
    <xf numFmtId="0" fontId="6" fillId="14" borderId="2" xfId="0" applyFont="1" applyFill="1" applyBorder="1" applyAlignment="1" applyProtection="1">
      <alignment horizontal="center"/>
      <protection locked="0"/>
    </xf>
    <xf numFmtId="0" fontId="6" fillId="14" borderId="18" xfId="0" applyFont="1" applyFill="1" applyBorder="1" applyProtection="1">
      <protection locked="0"/>
    </xf>
    <xf numFmtId="0" fontId="6" fillId="14" borderId="18" xfId="0" applyFont="1" applyFill="1" applyBorder="1" applyAlignment="1" applyProtection="1">
      <alignment horizontal="center"/>
      <protection locked="0"/>
    </xf>
    <xf numFmtId="177" fontId="6" fillId="14" borderId="2" xfId="30" applyNumberFormat="1" applyFont="1" applyFill="1" applyBorder="1" applyAlignment="1" applyProtection="1">
      <alignment horizontal="center"/>
      <protection locked="0"/>
    </xf>
    <xf numFmtId="177" fontId="6" fillId="14" borderId="2" xfId="30" applyNumberFormat="1" applyFont="1" applyFill="1" applyBorder="1" applyProtection="1">
      <protection locked="0"/>
    </xf>
    <xf numFmtId="177" fontId="6" fillId="14" borderId="18" xfId="30" applyNumberFormat="1" applyFont="1" applyFill="1" applyBorder="1" applyProtection="1">
      <protection locked="0"/>
    </xf>
    <xf numFmtId="177" fontId="6" fillId="14" borderId="2" xfId="30" applyNumberFormat="1" applyFont="1" applyFill="1" applyBorder="1" applyAlignment="1" applyProtection="1">
      <alignment horizontal="right"/>
      <protection locked="0"/>
    </xf>
    <xf numFmtId="177" fontId="6" fillId="14" borderId="18" xfId="30" applyNumberFormat="1" applyFont="1" applyFill="1" applyBorder="1" applyAlignment="1" applyProtection="1">
      <alignment horizontal="right"/>
      <protection locked="0"/>
    </xf>
    <xf numFmtId="168" fontId="6" fillId="14" borderId="2" xfId="30" applyNumberFormat="1" applyFont="1" applyFill="1" applyBorder="1" applyAlignment="1" applyProtection="1">
      <alignment horizontal="right"/>
      <protection locked="0"/>
    </xf>
    <xf numFmtId="10" fontId="6" fillId="14" borderId="2" xfId="28" applyNumberFormat="1" applyFont="1" applyFill="1" applyBorder="1" applyAlignment="1" applyProtection="1">
      <alignment horizontal="right"/>
      <protection locked="0"/>
    </xf>
    <xf numFmtId="10" fontId="6" fillId="14" borderId="18" xfId="28" applyNumberFormat="1" applyFont="1" applyFill="1" applyBorder="1" applyAlignment="1" applyProtection="1">
      <alignment horizontal="right"/>
      <protection locked="0"/>
    </xf>
    <xf numFmtId="0" fontId="6" fillId="14" borderId="2" xfId="0" applyFont="1" applyFill="1" applyBorder="1" applyAlignment="1" applyProtection="1">
      <alignment horizontal="right"/>
      <protection locked="0"/>
    </xf>
    <xf numFmtId="0" fontId="6" fillId="14" borderId="18" xfId="0" applyFont="1" applyFill="1" applyBorder="1" applyAlignment="1" applyProtection="1">
      <alignment horizontal="right"/>
      <protection locked="0"/>
    </xf>
    <xf numFmtId="10" fontId="6" fillId="14" borderId="19" xfId="28" applyNumberFormat="1" applyFont="1" applyFill="1" applyBorder="1" applyAlignment="1" applyProtection="1">
      <alignment horizontal="right"/>
      <protection locked="0"/>
    </xf>
    <xf numFmtId="10" fontId="6" fillId="14" borderId="31" xfId="28" applyNumberFormat="1" applyFont="1" applyFill="1" applyBorder="1" applyAlignment="1" applyProtection="1">
      <alignment horizontal="right"/>
      <protection locked="0"/>
    </xf>
    <xf numFmtId="177" fontId="6" fillId="14" borderId="22" xfId="30" applyNumberFormat="1" applyFont="1" applyFill="1" applyBorder="1" applyAlignment="1" applyProtection="1">
      <alignment horizontal="right"/>
      <protection locked="0"/>
    </xf>
    <xf numFmtId="177" fontId="6" fillId="14" borderId="42" xfId="30" applyNumberFormat="1" applyFont="1" applyFill="1" applyBorder="1" applyAlignment="1" applyProtection="1">
      <alignment horizontal="right"/>
      <protection locked="0"/>
    </xf>
    <xf numFmtId="0" fontId="8" fillId="0" borderId="34" xfId="0" applyFont="1" applyFill="1" applyBorder="1"/>
    <xf numFmtId="14" fontId="8" fillId="0" borderId="42" xfId="0" applyNumberFormat="1" applyFont="1" applyFill="1" applyBorder="1" applyAlignment="1">
      <alignment horizontal="center"/>
    </xf>
    <xf numFmtId="0" fontId="6" fillId="0" borderId="23" xfId="0" applyFont="1" applyFill="1" applyBorder="1"/>
    <xf numFmtId="168" fontId="6" fillId="0" borderId="18" xfId="30" applyNumberFormat="1" applyFont="1" applyFill="1" applyBorder="1"/>
    <xf numFmtId="168" fontId="6" fillId="0" borderId="31" xfId="30" applyNumberFormat="1" applyFont="1" applyFill="1" applyBorder="1"/>
    <xf numFmtId="0" fontId="6" fillId="0" borderId="0" xfId="0" applyFont="1" applyFill="1" applyAlignment="1" applyProtection="1">
      <alignment horizontal="center" wrapText="1"/>
    </xf>
    <xf numFmtId="168" fontId="6" fillId="0" borderId="2" xfId="30" applyNumberFormat="1" applyFont="1" applyFill="1" applyBorder="1" applyAlignment="1" applyProtection="1">
      <alignment horizontal="center"/>
    </xf>
    <xf numFmtId="0" fontId="8" fillId="0" borderId="0" xfId="0" applyFont="1" applyBorder="1" applyAlignment="1" applyProtection="1">
      <alignment horizontal="left"/>
      <protection locked="0"/>
    </xf>
    <xf numFmtId="0" fontId="8" fillId="0" borderId="22" xfId="0" applyFont="1" applyFill="1" applyBorder="1" applyAlignment="1" applyProtection="1">
      <alignment horizontal="center" wrapText="1"/>
    </xf>
    <xf numFmtId="0" fontId="6" fillId="0" borderId="22" xfId="0" applyFont="1" applyFill="1" applyBorder="1" applyAlignment="1" applyProtection="1">
      <alignment horizontal="center" wrapText="1"/>
    </xf>
    <xf numFmtId="0" fontId="6" fillId="0" borderId="42" xfId="0" applyFont="1" applyFill="1" applyBorder="1" applyAlignment="1" applyProtection="1">
      <alignment horizontal="center" wrapText="1"/>
    </xf>
    <xf numFmtId="0" fontId="6" fillId="0" borderId="23" xfId="0" applyFont="1" applyFill="1" applyBorder="1" applyAlignment="1" applyProtection="1">
      <alignment horizontal="left"/>
    </xf>
    <xf numFmtId="168" fontId="8" fillId="0" borderId="19" xfId="0" applyNumberFormat="1" applyFont="1" applyFill="1" applyBorder="1" applyProtection="1"/>
    <xf numFmtId="9" fontId="8" fillId="0" borderId="19" xfId="0" applyNumberFormat="1" applyFont="1" applyFill="1" applyBorder="1" applyAlignment="1" applyProtection="1">
      <alignment horizontal="center"/>
    </xf>
    <xf numFmtId="9" fontId="8" fillId="0" borderId="31" xfId="0" applyNumberFormat="1" applyFont="1" applyFill="1" applyBorder="1" applyAlignment="1" applyProtection="1">
      <alignment horizontal="center"/>
    </xf>
    <xf numFmtId="49" fontId="8" fillId="0" borderId="0" xfId="0" applyNumberFormat="1" applyFont="1" applyFill="1" applyAlignment="1">
      <alignment wrapText="1"/>
    </xf>
    <xf numFmtId="49" fontId="6" fillId="0" borderId="0" xfId="0" applyNumberFormat="1" applyFont="1" applyFill="1" applyAlignment="1">
      <alignment wrapText="1"/>
    </xf>
    <xf numFmtId="168" fontId="8" fillId="0" borderId="2" xfId="30" applyNumberFormat="1" applyFont="1" applyFill="1" applyBorder="1"/>
    <xf numFmtId="0" fontId="8" fillId="0" borderId="2" xfId="0" applyFont="1" applyFill="1" applyBorder="1" applyAlignment="1">
      <alignment horizontal="center" vertical="center"/>
    </xf>
    <xf numFmtId="0" fontId="8" fillId="0" borderId="2" xfId="0" applyFont="1" applyFill="1" applyBorder="1" applyAlignment="1">
      <alignment horizontal="center"/>
    </xf>
    <xf numFmtId="0" fontId="8" fillId="0" borderId="2" xfId="0" applyFont="1" applyFill="1" applyBorder="1" applyAlignment="1">
      <alignment horizontal="center" wrapText="1"/>
    </xf>
    <xf numFmtId="0" fontId="8" fillId="0" borderId="2" xfId="0" applyFont="1" applyFill="1" applyBorder="1"/>
    <xf numFmtId="0" fontId="6" fillId="0" borderId="2" xfId="0" applyFont="1" applyFill="1" applyBorder="1"/>
    <xf numFmtId="168" fontId="22" fillId="0" borderId="2" xfId="30" applyNumberFormat="1" applyFont="1" applyFill="1" applyBorder="1"/>
    <xf numFmtId="0" fontId="6" fillId="0" borderId="0" xfId="0" applyFont="1" applyFill="1" applyAlignment="1">
      <alignment wrapText="1"/>
    </xf>
    <xf numFmtId="168" fontId="6" fillId="14" borderId="2" xfId="30" applyNumberFormat="1" applyFont="1" applyFill="1" applyBorder="1" applyAlignment="1" applyProtection="1">
      <alignment wrapText="1"/>
      <protection locked="0"/>
    </xf>
    <xf numFmtId="168" fontId="8" fillId="14" borderId="2" xfId="30" applyNumberFormat="1" applyFont="1" applyFill="1" applyBorder="1" applyProtection="1">
      <protection locked="0"/>
    </xf>
    <xf numFmtId="14" fontId="8" fillId="15" borderId="2" xfId="0" applyNumberFormat="1" applyFont="1" applyFill="1" applyBorder="1" applyAlignment="1">
      <alignment horizontal="center"/>
    </xf>
    <xf numFmtId="0" fontId="8" fillId="0" borderId="2" xfId="0" applyFont="1" applyFill="1" applyBorder="1" applyAlignment="1">
      <alignment horizontal="left" vertical="center"/>
    </xf>
    <xf numFmtId="0" fontId="6" fillId="0" borderId="2" xfId="0" applyFont="1" applyFill="1" applyBorder="1" applyAlignment="1">
      <alignment horizontal="left" vertical="center"/>
    </xf>
    <xf numFmtId="0" fontId="60" fillId="0" borderId="2" xfId="0" applyFont="1" applyFill="1" applyBorder="1" applyAlignment="1">
      <alignment horizontal="left" vertical="center"/>
    </xf>
    <xf numFmtId="0" fontId="61" fillId="0" borderId="2" xfId="0" applyFont="1" applyFill="1" applyBorder="1"/>
    <xf numFmtId="0" fontId="60" fillId="0" borderId="2" xfId="0" applyFont="1" applyFill="1" applyBorder="1"/>
    <xf numFmtId="10" fontId="61" fillId="0" borderId="2" xfId="28" applyNumberFormat="1" applyFont="1" applyFill="1" applyBorder="1"/>
    <xf numFmtId="14" fontId="10" fillId="0" borderId="0" xfId="0" applyNumberFormat="1" applyFont="1" applyBorder="1" applyAlignment="1">
      <alignment horizontal="center"/>
    </xf>
    <xf numFmtId="0" fontId="9" fillId="0" borderId="0" xfId="0" applyFont="1" applyAlignment="1">
      <alignment wrapText="1"/>
    </xf>
    <xf numFmtId="0" fontId="9" fillId="0" borderId="0" xfId="0" applyFont="1" applyAlignment="1" applyProtection="1">
      <alignment wrapText="1"/>
      <protection locked="0"/>
    </xf>
    <xf numFmtId="0" fontId="9" fillId="0" borderId="0" xfId="0" applyFont="1" applyAlignment="1">
      <alignment horizontal="center" wrapText="1"/>
    </xf>
    <xf numFmtId="0" fontId="9" fillId="0" borderId="0" xfId="0" applyFont="1" applyAlignment="1" applyProtection="1">
      <alignment horizontal="center" wrapText="1"/>
      <protection locked="0"/>
    </xf>
    <xf numFmtId="0" fontId="10" fillId="0" borderId="2" xfId="0" applyFont="1" applyBorder="1" applyAlignment="1">
      <alignment horizontal="center" wrapText="1"/>
    </xf>
    <xf numFmtId="0" fontId="8" fillId="0" borderId="2" xfId="0" applyFont="1" applyBorder="1" applyAlignment="1">
      <alignment horizontal="left" wrapText="1"/>
    </xf>
    <xf numFmtId="168" fontId="10" fillId="0" borderId="2" xfId="30" applyNumberFormat="1" applyFont="1" applyBorder="1" applyAlignment="1">
      <alignment horizontal="center" wrapText="1"/>
    </xf>
    <xf numFmtId="9" fontId="10" fillId="0" borderId="2" xfId="0" applyNumberFormat="1" applyFont="1" applyBorder="1" applyAlignment="1">
      <alignment horizontal="center" wrapText="1"/>
    </xf>
    <xf numFmtId="0" fontId="19" fillId="0" borderId="2" xfId="0" applyFont="1" applyBorder="1" applyAlignment="1">
      <alignment horizontal="left" wrapText="1"/>
    </xf>
    <xf numFmtId="9" fontId="9" fillId="0" borderId="2" xfId="28" applyFont="1" applyBorder="1" applyAlignment="1">
      <alignment horizontal="center" wrapText="1"/>
    </xf>
    <xf numFmtId="168" fontId="9" fillId="14" borderId="2" xfId="30" applyNumberFormat="1" applyFont="1" applyFill="1" applyBorder="1" applyAlignment="1" applyProtection="1">
      <alignment wrapText="1"/>
      <protection locked="0"/>
    </xf>
    <xf numFmtId="0" fontId="9" fillId="0" borderId="34" xfId="0" applyFont="1" applyBorder="1" applyAlignment="1">
      <alignment horizontal="center" wrapText="1"/>
    </xf>
    <xf numFmtId="0" fontId="8" fillId="0" borderId="22" xfId="0" applyFont="1" applyBorder="1" applyAlignment="1">
      <alignment horizontal="center" wrapText="1"/>
    </xf>
    <xf numFmtId="0" fontId="10" fillId="0" borderId="22" xfId="0" applyFont="1" applyBorder="1" applyAlignment="1">
      <alignment horizontal="center" wrapText="1"/>
    </xf>
    <xf numFmtId="0" fontId="10" fillId="0" borderId="42" xfId="0" applyFont="1" applyBorder="1" applyAlignment="1">
      <alignment horizontal="center" wrapText="1"/>
    </xf>
    <xf numFmtId="0" fontId="9" fillId="0" borderId="23" xfId="0" applyFont="1" applyBorder="1" applyAlignment="1">
      <alignment horizontal="center" wrapText="1"/>
    </xf>
    <xf numFmtId="168" fontId="10" fillId="0" borderId="18" xfId="30" applyNumberFormat="1" applyFont="1" applyBorder="1" applyAlignment="1">
      <alignment horizontal="center" wrapText="1"/>
    </xf>
    <xf numFmtId="168" fontId="9" fillId="14" borderId="18" xfId="30" applyNumberFormat="1" applyFont="1" applyFill="1" applyBorder="1" applyAlignment="1" applyProtection="1">
      <alignment wrapText="1"/>
      <protection locked="0"/>
    </xf>
    <xf numFmtId="0" fontId="9" fillId="0" borderId="30" xfId="0" applyFont="1" applyBorder="1" applyAlignment="1">
      <alignment horizontal="center" wrapText="1"/>
    </xf>
    <xf numFmtId="0" fontId="19" fillId="0" borderId="19" xfId="0" applyFont="1" applyBorder="1" applyAlignment="1">
      <alignment horizontal="left" wrapText="1"/>
    </xf>
    <xf numFmtId="168" fontId="9" fillId="14" borderId="19" xfId="30" applyNumberFormat="1" applyFont="1" applyFill="1" applyBorder="1" applyAlignment="1" applyProtection="1">
      <alignment wrapText="1"/>
      <protection locked="0"/>
    </xf>
    <xf numFmtId="9" fontId="9" fillId="0" borderId="19" xfId="28" applyFont="1" applyBorder="1" applyAlignment="1">
      <alignment horizontal="center" wrapText="1"/>
    </xf>
    <xf numFmtId="168" fontId="9" fillId="14" borderId="31" xfId="30" applyNumberFormat="1" applyFont="1" applyFill="1" applyBorder="1" applyAlignment="1" applyProtection="1">
      <alignment wrapText="1"/>
      <protection locked="0"/>
    </xf>
    <xf numFmtId="177" fontId="6" fillId="14" borderId="19" xfId="30" applyNumberFormat="1" applyFont="1" applyFill="1" applyBorder="1" applyAlignment="1" applyProtection="1">
      <alignment horizontal="right"/>
      <protection locked="0"/>
    </xf>
    <xf numFmtId="177" fontId="6" fillId="14" borderId="31" xfId="30" applyNumberFormat="1" applyFont="1" applyFill="1" applyBorder="1" applyAlignment="1" applyProtection="1">
      <alignment horizontal="right"/>
      <protection locked="0"/>
    </xf>
    <xf numFmtId="168" fontId="6" fillId="9" borderId="34" xfId="31" applyNumberFormat="1" applyFont="1" applyFill="1" applyBorder="1" applyAlignment="1" applyProtection="1">
      <protection locked="0"/>
    </xf>
    <xf numFmtId="0" fontId="46" fillId="0" borderId="0" xfId="0" applyFont="1" applyFill="1" applyBorder="1" applyAlignment="1">
      <alignment vertical="top"/>
    </xf>
    <xf numFmtId="0" fontId="64" fillId="0" borderId="0" xfId="0" applyFont="1" applyFill="1" applyBorder="1"/>
    <xf numFmtId="0" fontId="46" fillId="0" borderId="0" xfId="0" applyFont="1" applyFill="1" applyBorder="1" applyAlignment="1">
      <alignment horizontal="center" vertical="top"/>
    </xf>
    <xf numFmtId="0" fontId="13" fillId="0" borderId="0" xfId="0" applyFont="1" applyFill="1" applyBorder="1" applyAlignment="1">
      <alignment vertical="top" wrapText="1"/>
    </xf>
    <xf numFmtId="0" fontId="46" fillId="0" borderId="0" xfId="0" applyFont="1" applyFill="1" applyBorder="1" applyAlignment="1">
      <alignment vertical="center" wrapText="1"/>
    </xf>
    <xf numFmtId="9" fontId="13" fillId="0" borderId="0" xfId="0" applyNumberFormat="1" applyFont="1" applyFill="1" applyBorder="1" applyAlignment="1">
      <alignment vertical="top" wrapText="1"/>
    </xf>
    <xf numFmtId="0" fontId="65" fillId="0" borderId="0" xfId="0" applyFont="1" applyFill="1" applyBorder="1" applyAlignment="1">
      <alignment vertical="top"/>
    </xf>
    <xf numFmtId="0" fontId="46" fillId="0" borderId="0" xfId="0" applyFont="1" applyFill="1" applyBorder="1" applyAlignment="1">
      <alignment horizontal="left" vertical="top"/>
    </xf>
    <xf numFmtId="0" fontId="46" fillId="0" borderId="0" xfId="0" applyFont="1" applyFill="1" applyBorder="1" applyAlignment="1">
      <alignment horizontal="center" vertical="top" wrapText="1"/>
    </xf>
    <xf numFmtId="0" fontId="46" fillId="0" borderId="15" xfId="0" applyFont="1" applyFill="1" applyBorder="1" applyAlignment="1">
      <alignment vertical="center" wrapText="1"/>
    </xf>
    <xf numFmtId="0" fontId="46" fillId="0" borderId="10" xfId="0" applyFont="1" applyFill="1" applyBorder="1" applyAlignment="1">
      <alignment vertical="center" wrapText="1"/>
    </xf>
    <xf numFmtId="168" fontId="46" fillId="0" borderId="0" xfId="31" applyNumberFormat="1" applyFont="1" applyFill="1" applyBorder="1" applyAlignment="1">
      <alignment horizontal="center" vertical="top" wrapText="1"/>
    </xf>
    <xf numFmtId="0" fontId="46" fillId="0" borderId="0" xfId="0" applyFont="1" applyFill="1" applyBorder="1" applyAlignment="1">
      <alignment horizontal="left" vertical="center" wrapText="1"/>
    </xf>
    <xf numFmtId="10" fontId="64" fillId="0" borderId="0" xfId="28" applyNumberFormat="1" applyFont="1" applyFill="1" applyBorder="1"/>
    <xf numFmtId="0" fontId="13" fillId="0" borderId="0" xfId="0" applyFont="1" applyFill="1" applyBorder="1" applyAlignment="1">
      <alignment wrapText="1"/>
    </xf>
    <xf numFmtId="168" fontId="13" fillId="0" borderId="0" xfId="31" applyNumberFormat="1" applyFont="1" applyFill="1" applyBorder="1" applyAlignment="1">
      <alignment horizontal="center" vertical="top" wrapText="1"/>
    </xf>
    <xf numFmtId="0" fontId="13" fillId="0" borderId="0" xfId="0" applyFont="1" applyFill="1" applyBorder="1" applyAlignment="1">
      <alignment horizontal="center" vertical="top" wrapText="1"/>
    </xf>
    <xf numFmtId="0" fontId="64" fillId="0" borderId="0" xfId="0" applyFont="1" applyFill="1" applyBorder="1" applyAlignment="1">
      <alignment horizontal="center"/>
    </xf>
    <xf numFmtId="0" fontId="46" fillId="0" borderId="0" xfId="0" applyFont="1" applyFill="1" applyBorder="1" applyAlignment="1">
      <alignment vertical="top" wrapText="1"/>
    </xf>
    <xf numFmtId="3" fontId="34" fillId="0" borderId="0" xfId="0" applyNumberFormat="1" applyFont="1"/>
    <xf numFmtId="0" fontId="66" fillId="0" borderId="0" xfId="0" applyFont="1"/>
    <xf numFmtId="168" fontId="35" fillId="0" borderId="0" xfId="30" applyNumberFormat="1" applyFont="1"/>
    <xf numFmtId="0" fontId="36" fillId="0" borderId="0" xfId="0" applyFont="1"/>
    <xf numFmtId="0" fontId="59" fillId="0" borderId="0" xfId="0" applyFont="1"/>
    <xf numFmtId="168" fontId="59" fillId="0" borderId="0" xfId="30" applyNumberFormat="1" applyFont="1"/>
    <xf numFmtId="168" fontId="36" fillId="0" borderId="0" xfId="30" applyNumberFormat="1" applyFont="1"/>
    <xf numFmtId="168" fontId="34" fillId="0" borderId="0" xfId="30" applyNumberFormat="1" applyFont="1"/>
    <xf numFmtId="168" fontId="66" fillId="0" borderId="0" xfId="30" applyNumberFormat="1" applyFont="1"/>
    <xf numFmtId="168" fontId="35" fillId="0" borderId="0" xfId="0" applyNumberFormat="1" applyFont="1"/>
    <xf numFmtId="168" fontId="36" fillId="0" borderId="0" xfId="0" applyNumberFormat="1" applyFont="1"/>
    <xf numFmtId="168" fontId="66" fillId="0" borderId="0" xfId="0" applyNumberFormat="1" applyFont="1"/>
    <xf numFmtId="9" fontId="36" fillId="0" borderId="0" xfId="28" applyFont="1"/>
    <xf numFmtId="43" fontId="6" fillId="9" borderId="10" xfId="30" applyFont="1" applyFill="1" applyBorder="1" applyAlignment="1" applyProtection="1">
      <alignment horizontal="left" vertical="center" wrapText="1"/>
      <protection locked="0"/>
    </xf>
    <xf numFmtId="9" fontId="6" fillId="0" borderId="81" xfId="28" applyFont="1" applyFill="1" applyBorder="1" applyAlignment="1" applyProtection="1">
      <alignment horizontal="center" vertical="top" wrapText="1"/>
    </xf>
    <xf numFmtId="9" fontId="6" fillId="0" borderId="16" xfId="28" applyFont="1" applyFill="1" applyBorder="1" applyAlignment="1" applyProtection="1">
      <alignment horizontal="center" vertical="top" wrapText="1"/>
    </xf>
    <xf numFmtId="9" fontId="6" fillId="0" borderId="8" xfId="28" applyNumberFormat="1" applyFont="1" applyFill="1" applyBorder="1" applyAlignment="1" applyProtection="1">
      <alignment horizontal="center" vertical="top" wrapText="1"/>
    </xf>
    <xf numFmtId="9" fontId="8" fillId="0" borderId="8" xfId="28" applyNumberFormat="1" applyFont="1" applyFill="1" applyBorder="1" applyAlignment="1" applyProtection="1">
      <alignment horizontal="center" vertical="top" wrapText="1"/>
    </xf>
    <xf numFmtId="9" fontId="6" fillId="0" borderId="7" xfId="28" applyNumberFormat="1" applyFont="1" applyFill="1" applyBorder="1" applyAlignment="1" applyProtection="1">
      <alignment horizontal="center" vertical="top" wrapText="1"/>
    </xf>
    <xf numFmtId="9" fontId="8" fillId="0" borderId="7" xfId="28" applyNumberFormat="1" applyFont="1" applyFill="1" applyBorder="1" applyAlignment="1" applyProtection="1">
      <alignment horizontal="center" vertical="top" wrapText="1"/>
    </xf>
    <xf numFmtId="9" fontId="6" fillId="0" borderId="11" xfId="28" applyNumberFormat="1" applyFont="1" applyFill="1" applyBorder="1" applyAlignment="1" applyProtection="1">
      <alignment horizontal="center" vertical="top" wrapText="1"/>
    </xf>
    <xf numFmtId="9" fontId="6" fillId="0" borderId="57" xfId="28" applyNumberFormat="1" applyFont="1" applyFill="1" applyBorder="1" applyAlignment="1" applyProtection="1">
      <alignment horizontal="center" vertical="top" wrapText="1"/>
    </xf>
    <xf numFmtId="9" fontId="8" fillId="0" borderId="15" xfId="28" applyNumberFormat="1" applyFont="1" applyFill="1" applyBorder="1" applyAlignment="1" applyProtection="1">
      <alignment horizontal="center" vertical="top" wrapText="1"/>
    </xf>
    <xf numFmtId="9" fontId="8" fillId="0" borderId="10" xfId="28" applyNumberFormat="1" applyFont="1" applyFill="1" applyBorder="1" applyAlignment="1" applyProtection="1">
      <alignment horizontal="center" vertical="top" wrapText="1"/>
    </xf>
    <xf numFmtId="176" fontId="6" fillId="0" borderId="16" xfId="31" applyNumberFormat="1" applyFont="1" applyFill="1" applyBorder="1" applyAlignment="1" applyProtection="1">
      <alignment horizontal="right" vertical="top" wrapText="1"/>
    </xf>
    <xf numFmtId="9" fontId="6" fillId="0" borderId="16" xfId="28" applyNumberFormat="1" applyFont="1" applyFill="1" applyBorder="1" applyAlignment="1" applyProtection="1">
      <alignment horizontal="center" vertical="top" wrapText="1"/>
    </xf>
    <xf numFmtId="9" fontId="6" fillId="0" borderId="81" xfId="28" applyNumberFormat="1" applyFont="1" applyFill="1" applyBorder="1" applyAlignment="1" applyProtection="1">
      <alignment horizontal="center" vertical="top" wrapText="1"/>
    </xf>
    <xf numFmtId="168" fontId="6" fillId="0" borderId="15" xfId="30" applyNumberFormat="1" applyFont="1" applyFill="1" applyBorder="1" applyAlignment="1" applyProtection="1">
      <alignment horizontal="right" vertical="top" wrapText="1"/>
    </xf>
    <xf numFmtId="9" fontId="8" fillId="0" borderId="15" xfId="28" applyFont="1" applyFill="1" applyBorder="1" applyAlignment="1" applyProtection="1">
      <alignment horizontal="center" vertical="top" wrapText="1"/>
    </xf>
    <xf numFmtId="9" fontId="8" fillId="0" borderId="0" xfId="28" applyFont="1" applyFill="1" applyAlignment="1">
      <alignment horizontal="center"/>
    </xf>
    <xf numFmtId="0" fontId="46" fillId="0" borderId="36" xfId="0" applyFont="1" applyFill="1" applyBorder="1" applyAlignment="1">
      <alignment vertical="center" wrapText="1"/>
    </xf>
    <xf numFmtId="0" fontId="64" fillId="0" borderId="25" xfId="0" applyFont="1" applyFill="1" applyBorder="1"/>
    <xf numFmtId="0" fontId="64" fillId="0" borderId="43" xfId="0" applyFont="1" applyFill="1" applyBorder="1"/>
    <xf numFmtId="0" fontId="64" fillId="0" borderId="10" xfId="0" applyFont="1" applyFill="1" applyBorder="1"/>
    <xf numFmtId="0" fontId="46" fillId="0" borderId="48" xfId="0" applyFont="1" applyFill="1" applyBorder="1" applyAlignment="1">
      <alignment vertical="center" wrapText="1"/>
    </xf>
    <xf numFmtId="43" fontId="13" fillId="0" borderId="2" xfId="30" applyFont="1" applyFill="1" applyBorder="1"/>
    <xf numFmtId="0" fontId="13" fillId="0" borderId="2" xfId="0" applyFont="1" applyFill="1" applyBorder="1" applyAlignment="1">
      <alignment horizontal="center"/>
    </xf>
    <xf numFmtId="0" fontId="64" fillId="0" borderId="32" xfId="0" applyFont="1" applyFill="1" applyBorder="1"/>
    <xf numFmtId="0" fontId="64" fillId="0" borderId="3" xfId="0" applyFont="1" applyFill="1" applyBorder="1"/>
    <xf numFmtId="0" fontId="13" fillId="0" borderId="0" xfId="0" applyFont="1" applyFill="1" applyBorder="1" applyAlignment="1"/>
    <xf numFmtId="0" fontId="13" fillId="0" borderId="25" xfId="0" applyFont="1" applyFill="1" applyBorder="1" applyAlignment="1"/>
    <xf numFmtId="0" fontId="13" fillId="0" borderId="0" xfId="0" applyFont="1" applyFill="1" applyBorder="1" applyAlignment="1">
      <alignment horizontal="center"/>
    </xf>
    <xf numFmtId="0" fontId="13" fillId="0" borderId="0" xfId="0" applyFont="1" applyFill="1" applyBorder="1"/>
    <xf numFmtId="0" fontId="13" fillId="0" borderId="23" xfId="0" applyFont="1" applyFill="1" applyBorder="1"/>
    <xf numFmtId="0" fontId="69" fillId="0" borderId="32" xfId="0" applyFont="1" applyFill="1" applyBorder="1" applyAlignment="1"/>
    <xf numFmtId="0" fontId="13" fillId="0" borderId="25" xfId="0" applyFont="1" applyFill="1" applyBorder="1" applyAlignment="1">
      <alignment horizontal="center"/>
    </xf>
    <xf numFmtId="0" fontId="13" fillId="0" borderId="52" xfId="0" applyFont="1" applyFill="1" applyBorder="1" applyAlignment="1">
      <alignment horizontal="center"/>
    </xf>
    <xf numFmtId="0" fontId="64" fillId="0" borderId="0" xfId="0" applyFont="1" applyFill="1" applyBorder="1" applyAlignment="1">
      <alignment wrapText="1"/>
    </xf>
    <xf numFmtId="0" fontId="71" fillId="0" borderId="32" xfId="0" applyFont="1" applyFill="1" applyBorder="1"/>
    <xf numFmtId="0" fontId="71" fillId="0" borderId="0" xfId="0" applyFont="1" applyFill="1" applyBorder="1"/>
    <xf numFmtId="0" fontId="13" fillId="0" borderId="30" xfId="0" applyFont="1" applyFill="1" applyBorder="1"/>
    <xf numFmtId="0" fontId="6" fillId="0" borderId="0" xfId="0" applyFont="1" applyFill="1" applyAlignment="1">
      <alignment horizontal="left" vertical="top" wrapText="1"/>
    </xf>
    <xf numFmtId="0" fontId="8" fillId="0" borderId="0" xfId="0" applyFont="1" applyFill="1" applyBorder="1" applyAlignment="1">
      <alignment horizontal="left" vertical="top" wrapText="1"/>
    </xf>
    <xf numFmtId="0" fontId="8" fillId="0" borderId="37" xfId="0" applyFont="1" applyFill="1" applyBorder="1" applyAlignment="1" applyProtection="1">
      <alignment horizontal="center" vertical="center" wrapText="1"/>
      <protection locked="0"/>
    </xf>
    <xf numFmtId="0" fontId="8" fillId="0" borderId="38" xfId="0" applyFont="1" applyFill="1" applyBorder="1" applyAlignment="1" applyProtection="1">
      <alignment horizontal="center" vertical="center" wrapText="1"/>
      <protection locked="0"/>
    </xf>
    <xf numFmtId="0" fontId="44" fillId="0" borderId="0" xfId="0" applyFont="1" applyFill="1" applyAlignment="1" applyProtection="1">
      <alignment horizontal="center" wrapText="1"/>
      <protection locked="0"/>
    </xf>
    <xf numFmtId="0" fontId="34" fillId="0" borderId="0" xfId="0" applyFont="1" applyBorder="1" applyAlignment="1">
      <alignment horizontal="center" vertical="top" wrapText="1"/>
    </xf>
    <xf numFmtId="0" fontId="6" fillId="10" borderId="74" xfId="0" applyFont="1" applyFill="1" applyBorder="1" applyAlignment="1">
      <alignment horizontal="left" vertical="top" wrapText="1"/>
    </xf>
    <xf numFmtId="0" fontId="6" fillId="10" borderId="75" xfId="0" applyFont="1" applyFill="1" applyBorder="1" applyAlignment="1">
      <alignment horizontal="left" vertical="top" wrapText="1"/>
    </xf>
    <xf numFmtId="0" fontId="6" fillId="10" borderId="44" xfId="0" applyFont="1" applyFill="1" applyBorder="1" applyAlignment="1">
      <alignment horizontal="left" vertical="top" wrapText="1"/>
    </xf>
    <xf numFmtId="0" fontId="17" fillId="12" borderId="65"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6" fillId="10" borderId="23"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28" xfId="0" applyFont="1" applyFill="1" applyBorder="1" applyAlignment="1">
      <alignment horizontal="left" vertical="top" wrapText="1"/>
    </xf>
    <xf numFmtId="0" fontId="6" fillId="0" borderId="0" xfId="0" applyFont="1" applyFill="1" applyBorder="1" applyAlignment="1">
      <alignment horizontal="left" vertical="top" wrapText="1"/>
    </xf>
    <xf numFmtId="0" fontId="34" fillId="10" borderId="15" xfId="0" applyFont="1" applyFill="1" applyBorder="1" applyAlignment="1">
      <alignment horizontal="left" vertical="top" wrapText="1"/>
    </xf>
    <xf numFmtId="0" fontId="34" fillId="10" borderId="36" xfId="0" applyFont="1" applyFill="1" applyBorder="1" applyAlignment="1">
      <alignment horizontal="left" vertical="top" wrapText="1"/>
    </xf>
    <xf numFmtId="0" fontId="34" fillId="10" borderId="63" xfId="0" applyFont="1" applyFill="1" applyBorder="1" applyAlignment="1">
      <alignment horizontal="left" vertical="top" wrapText="1"/>
    </xf>
    <xf numFmtId="0" fontId="34" fillId="0" borderId="15" xfId="0" applyFont="1" applyFill="1" applyBorder="1" applyAlignment="1" applyProtection="1">
      <alignment horizontal="left" vertical="top" wrapText="1"/>
      <protection locked="0"/>
    </xf>
    <xf numFmtId="0" fontId="34" fillId="0" borderId="36" xfId="0" applyFont="1" applyFill="1" applyBorder="1" applyAlignment="1" applyProtection="1">
      <alignment horizontal="left" vertical="top" wrapText="1"/>
      <protection locked="0"/>
    </xf>
    <xf numFmtId="0" fontId="34" fillId="0" borderId="63" xfId="0" applyFont="1" applyFill="1" applyBorder="1" applyAlignment="1" applyProtection="1">
      <alignment horizontal="left" vertical="top" wrapText="1"/>
      <protection locked="0"/>
    </xf>
    <xf numFmtId="49" fontId="8" fillId="0" borderId="11" xfId="0" applyNumberFormat="1" applyFont="1" applyFill="1" applyBorder="1" applyAlignment="1" applyProtection="1">
      <alignment horizontal="center" vertical="top" wrapText="1"/>
      <protection locked="0"/>
    </xf>
    <xf numFmtId="49" fontId="8" fillId="0" borderId="64" xfId="0" applyNumberFormat="1" applyFont="1" applyFill="1" applyBorder="1" applyAlignment="1" applyProtection="1">
      <alignment horizontal="center" vertical="top" wrapText="1"/>
      <protection locked="0"/>
    </xf>
    <xf numFmtId="49" fontId="8" fillId="0" borderId="38" xfId="0" applyNumberFormat="1" applyFont="1" applyFill="1" applyBorder="1" applyAlignment="1" applyProtection="1">
      <alignment horizontal="center" vertical="top" wrapText="1"/>
      <protection locked="0"/>
    </xf>
    <xf numFmtId="49" fontId="8" fillId="0" borderId="48" xfId="0" applyNumberFormat="1" applyFont="1" applyFill="1" applyBorder="1" applyAlignment="1" applyProtection="1">
      <alignment horizontal="center" vertical="top" wrapText="1"/>
      <protection locked="0"/>
    </xf>
    <xf numFmtId="49" fontId="8" fillId="0" borderId="3" xfId="0" applyNumberFormat="1" applyFont="1" applyFill="1" applyBorder="1" applyAlignment="1" applyProtection="1">
      <alignment horizontal="center" vertical="top" wrapText="1"/>
      <protection locked="0"/>
    </xf>
    <xf numFmtId="49" fontId="8" fillId="0" borderId="43" xfId="0" applyNumberFormat="1" applyFont="1" applyFill="1" applyBorder="1" applyAlignment="1" applyProtection="1">
      <alignment horizontal="center" vertical="top" wrapText="1"/>
      <protection locked="0"/>
    </xf>
    <xf numFmtId="0" fontId="6" fillId="0" borderId="28" xfId="0" applyFont="1" applyFill="1" applyBorder="1" applyAlignment="1" applyProtection="1">
      <alignment horizontal="left" vertical="top" wrapText="1"/>
      <protection locked="0"/>
    </xf>
    <xf numFmtId="0" fontId="6" fillId="0" borderId="46"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14" fontId="23" fillId="0" borderId="0" xfId="0" applyNumberFormat="1" applyFont="1" applyFill="1" applyBorder="1" applyAlignment="1">
      <alignment horizontal="center" vertical="top" wrapText="1"/>
    </xf>
    <xf numFmtId="0" fontId="33" fillId="10" borderId="48" xfId="0" applyFont="1" applyFill="1" applyBorder="1" applyAlignment="1">
      <alignment horizontal="left" vertical="top" wrapText="1"/>
    </xf>
    <xf numFmtId="0" fontId="33" fillId="10" borderId="43" xfId="0" applyFont="1" applyFill="1" applyBorder="1" applyAlignment="1">
      <alignment horizontal="left" vertical="top" wrapText="1"/>
    </xf>
    <xf numFmtId="0" fontId="34" fillId="10" borderId="32" xfId="0" applyFont="1" applyFill="1" applyBorder="1" applyAlignment="1">
      <alignment horizontal="center" vertical="top" wrapText="1"/>
    </xf>
    <xf numFmtId="0" fontId="34" fillId="10" borderId="0" xfId="0" applyFont="1" applyFill="1" applyBorder="1" applyAlignment="1">
      <alignment horizontal="center" vertical="top" wrapText="1"/>
    </xf>
    <xf numFmtId="0" fontId="34" fillId="10" borderId="69" xfId="0" applyFont="1" applyFill="1" applyBorder="1" applyAlignment="1">
      <alignment horizontal="center" vertical="top" wrapText="1"/>
    </xf>
    <xf numFmtId="0" fontId="36" fillId="0" borderId="8" xfId="0" applyFont="1" applyBorder="1" applyAlignment="1">
      <alignment vertical="top" wrapText="1"/>
    </xf>
    <xf numFmtId="0" fontId="36" fillId="0" borderId="46" xfId="0" applyFont="1" applyBorder="1" applyAlignment="1">
      <alignment vertical="top" wrapText="1"/>
    </xf>
    <xf numFmtId="0" fontId="36" fillId="0" borderId="26" xfId="0" applyFont="1" applyBorder="1" applyAlignment="1">
      <alignment vertical="top" wrapText="1"/>
    </xf>
    <xf numFmtId="0" fontId="34" fillId="0" borderId="2" xfId="0" applyFont="1" applyBorder="1" applyAlignment="1" applyProtection="1">
      <alignment horizontal="left" vertical="top" wrapText="1"/>
      <protection locked="0"/>
    </xf>
    <xf numFmtId="0" fontId="34" fillId="0" borderId="18" xfId="0" applyFont="1" applyBorder="1" applyAlignment="1" applyProtection="1">
      <alignment horizontal="left" vertical="top" wrapText="1"/>
      <protection locked="0"/>
    </xf>
    <xf numFmtId="0" fontId="35" fillId="0" borderId="46" xfId="0" applyFont="1" applyBorder="1" applyAlignment="1" applyProtection="1">
      <alignment horizontal="left" vertical="top" wrapText="1"/>
      <protection locked="0"/>
    </xf>
    <xf numFmtId="0" fontId="35" fillId="0" borderId="39" xfId="0" applyFont="1" applyBorder="1" applyAlignment="1" applyProtection="1">
      <alignment horizontal="left" vertical="top" wrapText="1"/>
      <protection locked="0"/>
    </xf>
    <xf numFmtId="0" fontId="6" fillId="0" borderId="8" xfId="0" applyFont="1" applyFill="1" applyBorder="1" applyAlignment="1" applyProtection="1">
      <alignment horizontal="left" vertical="top" wrapText="1"/>
    </xf>
    <xf numFmtId="0" fontId="6" fillId="0" borderId="46" xfId="0" applyFont="1" applyFill="1" applyBorder="1" applyAlignment="1" applyProtection="1">
      <alignment horizontal="left" vertical="top" wrapText="1"/>
    </xf>
    <xf numFmtId="0" fontId="6" fillId="0" borderId="26" xfId="0" applyFont="1" applyFill="1" applyBorder="1" applyAlignment="1" applyProtection="1">
      <alignment horizontal="left" vertical="top" wrapText="1"/>
    </xf>
    <xf numFmtId="0" fontId="34" fillId="0" borderId="48" xfId="0" applyFont="1" applyBorder="1" applyAlignment="1" applyProtection="1">
      <alignment horizontal="center" vertical="top" wrapText="1"/>
      <protection locked="0"/>
    </xf>
    <xf numFmtId="0" fontId="34" fillId="0" borderId="36" xfId="0" applyFont="1" applyBorder="1" applyAlignment="1" applyProtection="1">
      <alignment horizontal="center" vertical="top" wrapText="1"/>
      <protection locked="0"/>
    </xf>
    <xf numFmtId="0" fontId="34" fillId="0" borderId="63" xfId="0" applyFont="1" applyBorder="1" applyAlignment="1" applyProtection="1">
      <alignment horizontal="center" vertical="top" wrapText="1"/>
      <protection locked="0"/>
    </xf>
    <xf numFmtId="0" fontId="34" fillId="0" borderId="15" xfId="0" applyFont="1" applyBorder="1" applyAlignment="1" applyProtection="1">
      <alignment horizontal="center" vertical="top" wrapText="1"/>
      <protection locked="0"/>
    </xf>
    <xf numFmtId="0" fontId="8" fillId="0" borderId="19" xfId="0" applyFont="1" applyFill="1" applyBorder="1" applyAlignment="1">
      <alignment horizontal="center" vertical="top" wrapText="1"/>
    </xf>
    <xf numFmtId="0" fontId="8" fillId="0" borderId="31" xfId="0" applyFont="1" applyFill="1" applyBorder="1" applyAlignment="1">
      <alignment horizontal="center" vertical="top" wrapText="1"/>
    </xf>
    <xf numFmtId="0" fontId="6" fillId="0" borderId="11" xfId="0" applyFont="1" applyFill="1" applyBorder="1" applyAlignment="1">
      <alignment horizontal="left" vertical="top" wrapText="1"/>
    </xf>
    <xf numFmtId="0" fontId="6" fillId="0" borderId="64" xfId="0" applyFont="1" applyFill="1" applyBorder="1" applyAlignment="1">
      <alignment horizontal="left" vertical="top" wrapText="1"/>
    </xf>
    <xf numFmtId="0" fontId="6" fillId="0" borderId="38" xfId="0" applyFont="1" applyFill="1" applyBorder="1" applyAlignment="1">
      <alignment horizontal="left" vertical="top" wrapText="1"/>
    </xf>
    <xf numFmtId="0" fontId="8" fillId="10" borderId="28" xfId="0" applyFont="1" applyFill="1" applyBorder="1" applyAlignment="1">
      <alignment horizontal="center" vertical="top" wrapText="1"/>
    </xf>
    <xf numFmtId="0" fontId="8" fillId="10" borderId="46" xfId="0" applyFont="1" applyFill="1" applyBorder="1" applyAlignment="1">
      <alignment horizontal="center" vertical="top" wrapText="1"/>
    </xf>
    <xf numFmtId="0" fontId="8" fillId="10" borderId="39" xfId="0" applyFont="1" applyFill="1" applyBorder="1" applyAlignment="1">
      <alignment horizontal="center" vertical="top" wrapText="1"/>
    </xf>
    <xf numFmtId="0" fontId="17" fillId="12" borderId="3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7" fillId="12" borderId="42" xfId="0" applyFont="1" applyFill="1" applyBorder="1" applyAlignment="1">
      <alignment horizontal="center" vertical="center" wrapText="1"/>
    </xf>
    <xf numFmtId="0" fontId="6" fillId="0" borderId="28" xfId="0" applyFont="1" applyFill="1" applyBorder="1" applyAlignment="1" applyProtection="1">
      <alignment horizontal="center" vertical="top" wrapText="1"/>
      <protection locked="0"/>
    </xf>
    <xf numFmtId="0" fontId="6" fillId="0" borderId="46" xfId="0" applyFont="1" applyFill="1" applyBorder="1" applyAlignment="1" applyProtection="1">
      <alignment horizontal="center" vertical="top" wrapText="1"/>
      <protection locked="0"/>
    </xf>
    <xf numFmtId="0" fontId="6" fillId="0" borderId="26" xfId="0"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top" wrapText="1"/>
      <protection locked="0"/>
    </xf>
    <xf numFmtId="0" fontId="6" fillId="0" borderId="39" xfId="0" applyFont="1" applyFill="1" applyBorder="1" applyAlignment="1" applyProtection="1">
      <alignment horizontal="center" vertical="top" wrapText="1"/>
      <protection locked="0"/>
    </xf>
    <xf numFmtId="0" fontId="8" fillId="0" borderId="28" xfId="0" applyFont="1" applyFill="1" applyBorder="1" applyAlignment="1" applyProtection="1">
      <alignment horizontal="center" vertical="top" wrapText="1"/>
      <protection locked="0"/>
    </xf>
    <xf numFmtId="0" fontId="8" fillId="0" borderId="46" xfId="0" applyFont="1" applyFill="1" applyBorder="1" applyAlignment="1" applyProtection="1">
      <alignment horizontal="center" vertical="top" wrapText="1"/>
      <protection locked="0"/>
    </xf>
    <xf numFmtId="0" fontId="8" fillId="0" borderId="26" xfId="0" applyFont="1" applyFill="1" applyBorder="1" applyAlignment="1" applyProtection="1">
      <alignment horizontal="center" vertical="top" wrapText="1"/>
      <protection locked="0"/>
    </xf>
    <xf numFmtId="0" fontId="8" fillId="0" borderId="23" xfId="0" applyFont="1" applyFill="1" applyBorder="1" applyAlignment="1">
      <alignment horizontal="left" vertical="top" wrapText="1"/>
    </xf>
    <xf numFmtId="0" fontId="8" fillId="0" borderId="18" xfId="0" applyFont="1" applyFill="1" applyBorder="1" applyAlignment="1">
      <alignment horizontal="left" vertical="top" wrapText="1"/>
    </xf>
    <xf numFmtId="49" fontId="8" fillId="0" borderId="23" xfId="0" applyNumberFormat="1" applyFont="1" applyFill="1" applyBorder="1" applyAlignment="1" applyProtection="1">
      <alignment horizontal="center" vertical="top" wrapText="1"/>
      <protection locked="0"/>
    </xf>
    <xf numFmtId="49" fontId="8" fillId="0" borderId="2" xfId="0" applyNumberFormat="1" applyFont="1" applyFill="1" applyBorder="1" applyAlignment="1" applyProtection="1">
      <alignment horizontal="center" vertical="top" wrapText="1"/>
      <protection locked="0"/>
    </xf>
    <xf numFmtId="49" fontId="8" fillId="0" borderId="18" xfId="0" applyNumberFormat="1" applyFont="1" applyFill="1" applyBorder="1" applyAlignment="1" applyProtection="1">
      <alignment horizontal="center" vertical="top" wrapText="1"/>
      <protection locked="0"/>
    </xf>
    <xf numFmtId="0" fontId="8" fillId="10" borderId="34" xfId="0" applyFont="1" applyFill="1" applyBorder="1" applyAlignment="1">
      <alignment horizontal="left" vertical="top" wrapText="1"/>
    </xf>
    <xf numFmtId="0" fontId="8" fillId="10" borderId="42" xfId="0" applyFont="1" applyFill="1" applyBorder="1" applyAlignment="1">
      <alignment horizontal="left" vertical="top" wrapText="1"/>
    </xf>
    <xf numFmtId="0" fontId="6" fillId="0" borderId="19" xfId="0" applyFont="1" applyFill="1" applyBorder="1" applyAlignment="1" applyProtection="1">
      <alignment horizontal="center" vertical="top" wrapText="1"/>
      <protection locked="0"/>
    </xf>
    <xf numFmtId="0" fontId="8" fillId="10" borderId="23" xfId="0" applyFont="1" applyFill="1" applyBorder="1" applyAlignment="1">
      <alignment horizontal="left" vertical="top" wrapText="1"/>
    </xf>
    <xf numFmtId="0" fontId="8" fillId="10" borderId="18" xfId="0" applyFont="1" applyFill="1" applyBorder="1" applyAlignment="1">
      <alignment horizontal="left" vertical="top" wrapText="1"/>
    </xf>
    <xf numFmtId="0" fontId="6" fillId="0" borderId="33" xfId="0" applyFont="1" applyFill="1" applyBorder="1" applyAlignment="1" applyProtection="1">
      <alignment horizontal="center" vertical="top" wrapText="1"/>
      <protection locked="0"/>
    </xf>
    <xf numFmtId="0" fontId="6" fillId="0" borderId="68" xfId="0" applyFont="1" applyFill="1" applyBorder="1" applyAlignment="1" applyProtection="1">
      <alignment horizontal="center" vertical="top" wrapText="1"/>
      <protection locked="0"/>
    </xf>
    <xf numFmtId="0" fontId="6" fillId="0" borderId="59" xfId="0" applyFont="1" applyFill="1" applyBorder="1" applyAlignment="1" applyProtection="1">
      <alignment horizontal="center" vertical="top" wrapText="1"/>
      <protection locked="0"/>
    </xf>
    <xf numFmtId="0" fontId="38" fillId="0" borderId="28" xfId="23" applyFont="1" applyFill="1" applyBorder="1" applyAlignment="1" applyProtection="1">
      <alignment horizontal="center" vertical="top" wrapText="1"/>
      <protection locked="0"/>
    </xf>
    <xf numFmtId="0" fontId="8" fillId="0" borderId="39" xfId="0" applyFont="1" applyFill="1" applyBorder="1" applyAlignment="1" applyProtection="1">
      <alignment horizontal="center" vertical="top" wrapText="1"/>
      <protection locked="0"/>
    </xf>
    <xf numFmtId="0" fontId="8" fillId="0" borderId="22" xfId="0" applyFont="1" applyFill="1" applyBorder="1" applyAlignment="1">
      <alignment horizontal="center" vertical="top" wrapText="1"/>
    </xf>
    <xf numFmtId="168" fontId="6" fillId="0" borderId="2" xfId="30" applyNumberFormat="1" applyFont="1" applyFill="1" applyBorder="1" applyAlignment="1" applyProtection="1">
      <alignment horizontal="center"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lignment horizontal="center" vertical="top" wrapText="1"/>
    </xf>
    <xf numFmtId="0" fontId="8" fillId="10" borderId="2" xfId="0" applyFont="1" applyFill="1" applyBorder="1" applyAlignment="1">
      <alignment horizontal="left" vertical="top" wrapText="1"/>
    </xf>
    <xf numFmtId="0" fontId="37" fillId="0" borderId="0" xfId="0" applyFont="1" applyAlignment="1">
      <alignment horizontal="center"/>
    </xf>
    <xf numFmtId="49" fontId="8" fillId="0" borderId="28" xfId="0" applyNumberFormat="1" applyFont="1" applyFill="1" applyBorder="1" applyAlignment="1" applyProtection="1">
      <alignment horizontal="center" wrapText="1"/>
      <protection locked="0"/>
    </xf>
    <xf numFmtId="49" fontId="8" fillId="0" borderId="46" xfId="0" applyNumberFormat="1" applyFont="1" applyFill="1" applyBorder="1" applyAlignment="1" applyProtection="1">
      <alignment horizontal="center" wrapText="1"/>
      <protection locked="0"/>
    </xf>
    <xf numFmtId="49" fontId="8" fillId="0" borderId="39" xfId="0" applyNumberFormat="1" applyFont="1" applyFill="1" applyBorder="1" applyAlignment="1" applyProtection="1">
      <alignment horizontal="center" wrapText="1"/>
      <protection locked="0"/>
    </xf>
    <xf numFmtId="0" fontId="6" fillId="0" borderId="2" xfId="0" applyFont="1" applyFill="1" applyBorder="1" applyAlignment="1" applyProtection="1">
      <alignment horizontal="center" vertical="top" wrapText="1"/>
      <protection locked="0"/>
    </xf>
    <xf numFmtId="0" fontId="6" fillId="0" borderId="18" xfId="0" applyFont="1" applyFill="1" applyBorder="1" applyAlignment="1" applyProtection="1">
      <alignment horizontal="center" vertical="top" wrapText="1"/>
      <protection locked="0"/>
    </xf>
    <xf numFmtId="0" fontId="6" fillId="0" borderId="28" xfId="0" applyFont="1" applyFill="1" applyBorder="1" applyAlignment="1">
      <alignment horizontal="center" vertical="top" wrapText="1"/>
    </xf>
    <xf numFmtId="0" fontId="0" fillId="0" borderId="46" xfId="0" applyBorder="1"/>
    <xf numFmtId="0" fontId="6" fillId="0" borderId="28"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39" xfId="0" applyFont="1" applyFill="1" applyBorder="1" applyAlignment="1">
      <alignment horizontal="left" vertical="top" wrapText="1"/>
    </xf>
    <xf numFmtId="14" fontId="8" fillId="0" borderId="2" xfId="0" applyNumberFormat="1" applyFont="1" applyFill="1" applyBorder="1" applyAlignment="1" applyProtection="1">
      <alignment horizontal="center" vertical="top" wrapText="1"/>
      <protection locked="0"/>
    </xf>
    <xf numFmtId="0" fontId="8" fillId="0" borderId="18" xfId="0" applyFont="1" applyFill="1" applyBorder="1" applyAlignment="1" applyProtection="1">
      <alignment horizontal="center" vertical="top" wrapText="1"/>
      <protection locked="0"/>
    </xf>
    <xf numFmtId="0" fontId="38" fillId="0" borderId="33" xfId="23" applyFont="1" applyFill="1" applyBorder="1" applyAlignment="1" applyProtection="1">
      <alignment horizontal="center" vertical="top" wrapText="1"/>
      <protection locked="0"/>
    </xf>
    <xf numFmtId="0" fontId="8" fillId="0" borderId="68" xfId="0" applyFont="1" applyFill="1" applyBorder="1" applyAlignment="1" applyProtection="1">
      <alignment horizontal="center" vertical="top" wrapText="1"/>
      <protection locked="0"/>
    </xf>
    <xf numFmtId="0" fontId="8" fillId="0" borderId="59" xfId="0" applyFont="1" applyFill="1" applyBorder="1" applyAlignment="1" applyProtection="1">
      <alignment horizontal="center" vertical="top" wrapText="1"/>
      <protection locked="0"/>
    </xf>
    <xf numFmtId="0" fontId="8" fillId="0" borderId="42" xfId="0" applyFont="1" applyFill="1" applyBorder="1" applyAlignment="1">
      <alignment horizontal="center" vertical="top" wrapText="1"/>
    </xf>
    <xf numFmtId="0" fontId="8" fillId="0" borderId="29" xfId="0" applyFont="1" applyFill="1" applyBorder="1" applyAlignment="1" applyProtection="1">
      <alignment horizontal="center" vertical="top" wrapText="1"/>
      <protection locked="0"/>
    </xf>
    <xf numFmtId="0" fontId="8" fillId="10" borderId="8" xfId="0" applyFont="1" applyFill="1" applyBorder="1" applyAlignment="1">
      <alignment horizontal="center" vertical="top" wrapText="1"/>
    </xf>
    <xf numFmtId="0" fontId="8" fillId="10" borderId="26" xfId="0" applyFont="1" applyFill="1" applyBorder="1" applyAlignment="1">
      <alignment horizontal="center" vertical="top" wrapText="1"/>
    </xf>
    <xf numFmtId="0" fontId="6" fillId="0" borderId="8" xfId="0" applyFont="1" applyFill="1" applyBorder="1" applyAlignment="1" applyProtection="1">
      <alignment horizontal="center" vertical="top" wrapText="1"/>
      <protection locked="0"/>
    </xf>
    <xf numFmtId="14" fontId="8" fillId="0" borderId="28" xfId="0" applyNumberFormat="1" applyFont="1" applyFill="1" applyBorder="1" applyAlignment="1" applyProtection="1">
      <alignment horizontal="center" vertical="top" wrapText="1"/>
      <protection locked="0"/>
    </xf>
    <xf numFmtId="168" fontId="8" fillId="0" borderId="33" xfId="30" applyNumberFormat="1" applyFont="1" applyFill="1" applyBorder="1" applyAlignment="1">
      <alignment horizontal="center" vertical="top" wrapText="1"/>
    </xf>
    <xf numFmtId="168" fontId="8" fillId="0" borderId="68" xfId="30" applyNumberFormat="1" applyFont="1" applyFill="1" applyBorder="1" applyAlignment="1">
      <alignment horizontal="center" vertical="top" wrapText="1"/>
    </xf>
    <xf numFmtId="168" fontId="8" fillId="0" borderId="29" xfId="30" applyNumberFormat="1" applyFont="1" applyFill="1" applyBorder="1" applyAlignment="1">
      <alignment horizontal="center" vertical="top" wrapText="1"/>
    </xf>
    <xf numFmtId="168" fontId="6" fillId="0" borderId="28" xfId="30" applyNumberFormat="1" applyFont="1" applyFill="1" applyBorder="1" applyAlignment="1" applyProtection="1">
      <alignment horizontal="center" vertical="top" wrapText="1"/>
      <protection locked="0"/>
    </xf>
    <xf numFmtId="168" fontId="6" fillId="0" borderId="46" xfId="30" applyNumberFormat="1" applyFont="1" applyFill="1" applyBorder="1" applyAlignment="1" applyProtection="1">
      <alignment horizontal="center" vertical="top" wrapText="1"/>
      <protection locked="0"/>
    </xf>
    <xf numFmtId="168" fontId="6" fillId="0" borderId="26" xfId="30" applyNumberFormat="1" applyFont="1" applyFill="1" applyBorder="1" applyAlignment="1" applyProtection="1">
      <alignment horizontal="center" vertical="top" wrapText="1"/>
      <protection locked="0"/>
    </xf>
    <xf numFmtId="0" fontId="6" fillId="0" borderId="35" xfId="0" applyFont="1" applyFill="1" applyBorder="1" applyAlignment="1">
      <alignment horizontal="center" vertical="top" wrapText="1"/>
    </xf>
    <xf numFmtId="0" fontId="6" fillId="0" borderId="68"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28"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168" fontId="6" fillId="0" borderId="39" xfId="30" applyNumberFormat="1" applyFont="1" applyFill="1" applyBorder="1" applyAlignment="1" applyProtection="1">
      <alignment horizontal="center" vertical="top" wrapText="1"/>
      <protection locked="0"/>
    </xf>
    <xf numFmtId="171" fontId="8" fillId="0" borderId="33" xfId="30" applyNumberFormat="1" applyFont="1" applyFill="1" applyBorder="1" applyAlignment="1">
      <alignment horizontal="center" vertical="top" wrapText="1"/>
    </xf>
    <xf numFmtId="171" fontId="8" fillId="0" borderId="68" xfId="30" applyNumberFormat="1" applyFont="1" applyFill="1" applyBorder="1" applyAlignment="1">
      <alignment horizontal="center" vertical="top" wrapText="1"/>
    </xf>
    <xf numFmtId="171" fontId="8" fillId="0" borderId="59" xfId="30" applyNumberFormat="1" applyFont="1" applyFill="1" applyBorder="1" applyAlignment="1">
      <alignment horizontal="center" vertical="top" wrapText="1"/>
    </xf>
    <xf numFmtId="168" fontId="8" fillId="0" borderId="19" xfId="30" applyNumberFormat="1" applyFont="1" applyFill="1" applyBorder="1" applyAlignment="1">
      <alignment horizontal="center" vertical="top" wrapText="1"/>
    </xf>
    <xf numFmtId="0" fontId="6" fillId="0" borderId="32" xfId="0" applyFont="1" applyFill="1" applyBorder="1" applyAlignment="1">
      <alignment horizontal="left" vertical="top" wrapText="1"/>
    </xf>
    <xf numFmtId="0" fontId="6" fillId="0" borderId="25" xfId="0" applyFont="1" applyFill="1" applyBorder="1" applyAlignment="1">
      <alignment horizontal="left" vertical="top" wrapText="1"/>
    </xf>
    <xf numFmtId="168" fontId="8" fillId="0" borderId="59" xfId="30" applyNumberFormat="1"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27" xfId="0" applyFont="1" applyFill="1" applyBorder="1" applyAlignment="1">
      <alignment horizontal="center" vertical="top" wrapText="1"/>
    </xf>
    <xf numFmtId="173" fontId="8" fillId="0" borderId="70" xfId="30" applyNumberFormat="1" applyFont="1" applyFill="1" applyBorder="1" applyAlignment="1">
      <alignment horizontal="center" vertical="top" wrapText="1"/>
    </xf>
    <xf numFmtId="173" fontId="8" fillId="0" borderId="27" xfId="30" applyNumberFormat="1" applyFont="1" applyFill="1" applyBorder="1" applyAlignment="1">
      <alignment horizontal="center" vertical="top" wrapText="1"/>
    </xf>
    <xf numFmtId="173" fontId="8" fillId="0" borderId="55" xfId="30" applyNumberFormat="1" applyFont="1" applyFill="1" applyBorder="1" applyAlignment="1">
      <alignment horizontal="center" vertical="top" wrapText="1"/>
    </xf>
    <xf numFmtId="173" fontId="8" fillId="0" borderId="71" xfId="30" applyNumberFormat="1" applyFont="1" applyFill="1" applyBorder="1" applyAlignment="1">
      <alignment horizontal="center" vertical="top" wrapText="1"/>
    </xf>
    <xf numFmtId="173" fontId="8" fillId="0" borderId="72" xfId="30" applyNumberFormat="1" applyFont="1" applyFill="1" applyBorder="1" applyAlignment="1">
      <alignment horizontal="center" vertical="top" wrapText="1"/>
    </xf>
    <xf numFmtId="0" fontId="8" fillId="0" borderId="33" xfId="0" applyFont="1" applyFill="1" applyBorder="1" applyAlignment="1">
      <alignment horizontal="center" vertical="top" wrapText="1"/>
    </xf>
    <xf numFmtId="0" fontId="8" fillId="0" borderId="29" xfId="0" applyFont="1" applyFill="1" applyBorder="1" applyAlignment="1">
      <alignment horizontal="center" vertical="top" wrapText="1"/>
    </xf>
    <xf numFmtId="0" fontId="8" fillId="0" borderId="35" xfId="0" applyFont="1" applyFill="1" applyBorder="1" applyAlignment="1">
      <alignment horizontal="center" vertical="top" wrapText="1"/>
    </xf>
    <xf numFmtId="0" fontId="8" fillId="0" borderId="2" xfId="0" applyFont="1" applyFill="1" applyBorder="1" applyAlignment="1">
      <alignment horizontal="center" vertical="top" wrapText="1"/>
    </xf>
    <xf numFmtId="14" fontId="8" fillId="0" borderId="23" xfId="0" applyNumberFormat="1" applyFont="1" applyFill="1" applyBorder="1" applyAlignment="1" applyProtection="1">
      <alignment horizontal="center" vertical="top" wrapText="1"/>
      <protection locked="0"/>
    </xf>
    <xf numFmtId="14" fontId="8" fillId="0" borderId="18" xfId="0" applyNumberFormat="1" applyFont="1" applyFill="1" applyBorder="1" applyAlignment="1" applyProtection="1">
      <alignment horizontal="center" vertical="top" wrapText="1"/>
      <protection locked="0"/>
    </xf>
    <xf numFmtId="0" fontId="8" fillId="0" borderId="28" xfId="0" applyFont="1" applyFill="1" applyBorder="1" applyAlignment="1">
      <alignment horizontal="center" vertical="top" wrapText="1"/>
    </xf>
    <xf numFmtId="0" fontId="8" fillId="0" borderId="46" xfId="0" applyFont="1" applyFill="1" applyBorder="1" applyAlignment="1">
      <alignment horizontal="center" vertical="top" wrapText="1"/>
    </xf>
    <xf numFmtId="0" fontId="8" fillId="0" borderId="39" xfId="0" applyFont="1" applyFill="1" applyBorder="1" applyAlignment="1">
      <alignment horizontal="center" vertical="top" wrapText="1"/>
    </xf>
    <xf numFmtId="14" fontId="8" fillId="0" borderId="34" xfId="0" applyNumberFormat="1" applyFont="1" applyFill="1" applyBorder="1" applyAlignment="1" applyProtection="1">
      <alignment horizontal="center" vertical="top" wrapText="1"/>
      <protection locked="0"/>
    </xf>
    <xf numFmtId="14" fontId="8" fillId="0" borderId="22" xfId="0" applyNumberFormat="1" applyFont="1" applyFill="1" applyBorder="1" applyAlignment="1" applyProtection="1">
      <alignment horizontal="center" vertical="top" wrapText="1"/>
      <protection locked="0"/>
    </xf>
    <xf numFmtId="14" fontId="8" fillId="0" borderId="42" xfId="0" applyNumberFormat="1" applyFont="1" applyFill="1" applyBorder="1" applyAlignment="1" applyProtection="1">
      <alignment horizontal="center" vertical="top" wrapText="1"/>
      <protection locked="0"/>
    </xf>
    <xf numFmtId="14" fontId="6" fillId="0" borderId="23" xfId="0" applyNumberFormat="1" applyFont="1" applyFill="1" applyBorder="1" applyAlignment="1" applyProtection="1">
      <alignment horizontal="center" vertical="top" wrapText="1"/>
      <protection locked="0"/>
    </xf>
    <xf numFmtId="14" fontId="6" fillId="0" borderId="2" xfId="0" applyNumberFormat="1" applyFont="1" applyFill="1" applyBorder="1" applyAlignment="1" applyProtection="1">
      <alignment horizontal="center" vertical="top" wrapText="1"/>
      <protection locked="0"/>
    </xf>
    <xf numFmtId="14" fontId="6" fillId="0" borderId="18" xfId="0" applyNumberFormat="1" applyFont="1" applyFill="1" applyBorder="1" applyAlignment="1" applyProtection="1">
      <alignment horizontal="center" vertical="top" wrapText="1"/>
      <protection locked="0"/>
    </xf>
    <xf numFmtId="0" fontId="8" fillId="10" borderId="11" xfId="0" applyFont="1" applyFill="1" applyBorder="1" applyAlignment="1">
      <alignment horizontal="left" vertical="top" wrapText="1"/>
    </xf>
    <xf numFmtId="0" fontId="8" fillId="10" borderId="38" xfId="0" applyFont="1" applyFill="1" applyBorder="1" applyAlignment="1">
      <alignment horizontal="left" vertical="top" wrapText="1"/>
    </xf>
    <xf numFmtId="0" fontId="34" fillId="10" borderId="55" xfId="0" applyFont="1" applyFill="1" applyBorder="1" applyAlignment="1">
      <alignment horizontal="center" vertical="top" wrapText="1"/>
    </xf>
    <xf numFmtId="0" fontId="34" fillId="10" borderId="71" xfId="0" applyFont="1" applyFill="1" applyBorder="1" applyAlignment="1">
      <alignment horizontal="center" vertical="top" wrapText="1"/>
    </xf>
    <xf numFmtId="0" fontId="34" fillId="10" borderId="72" xfId="0" applyFont="1" applyFill="1" applyBorder="1" applyAlignment="1">
      <alignment horizontal="center" vertical="top" wrapText="1"/>
    </xf>
    <xf numFmtId="0" fontId="8" fillId="10" borderId="54" xfId="0" applyFont="1" applyFill="1" applyBorder="1" applyAlignment="1">
      <alignment horizontal="left" vertical="top" wrapText="1"/>
    </xf>
    <xf numFmtId="0" fontId="8" fillId="10" borderId="7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19"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32" fillId="0" borderId="41" xfId="0" applyFont="1" applyBorder="1" applyAlignment="1">
      <alignment horizontal="left" wrapText="1"/>
    </xf>
    <xf numFmtId="0" fontId="17" fillId="12" borderId="53" xfId="0" applyFont="1" applyFill="1" applyBorder="1" applyAlignment="1">
      <alignment horizontal="center" vertical="center" wrapText="1"/>
    </xf>
    <xf numFmtId="0" fontId="17" fillId="12" borderId="2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35" fillId="0" borderId="0" xfId="0" applyFont="1" applyFill="1" applyBorder="1" applyAlignment="1">
      <alignment horizontal="left" vertical="top" wrapText="1"/>
    </xf>
    <xf numFmtId="0" fontId="8" fillId="0" borderId="37" xfId="0" applyFont="1" applyFill="1" applyBorder="1" applyAlignment="1" applyProtection="1">
      <alignment horizontal="left" vertical="top" wrapText="1"/>
      <protection locked="0"/>
    </xf>
    <xf numFmtId="0" fontId="8" fillId="0" borderId="64" xfId="0" applyFont="1" applyFill="1" applyBorder="1" applyAlignment="1" applyProtection="1">
      <alignment horizontal="left" vertical="top" wrapText="1"/>
      <protection locked="0"/>
    </xf>
    <xf numFmtId="0" fontId="8" fillId="0" borderId="38" xfId="0" applyFont="1" applyFill="1" applyBorder="1" applyAlignment="1" applyProtection="1">
      <alignment horizontal="left" vertical="top" wrapText="1"/>
      <protection locked="0"/>
    </xf>
    <xf numFmtId="0" fontId="8" fillId="0" borderId="55" xfId="0" applyFont="1" applyFill="1" applyBorder="1" applyAlignment="1" applyProtection="1">
      <alignment horizontal="left" vertical="top" wrapText="1"/>
      <protection locked="0"/>
    </xf>
    <xf numFmtId="0" fontId="8" fillId="0" borderId="71" xfId="0" applyFont="1" applyFill="1" applyBorder="1" applyAlignment="1" applyProtection="1">
      <alignment horizontal="left" vertical="top" wrapText="1"/>
      <protection locked="0"/>
    </xf>
    <xf numFmtId="0" fontId="8" fillId="0" borderId="72" xfId="0" applyFont="1" applyFill="1" applyBorder="1" applyAlignment="1" applyProtection="1">
      <alignment horizontal="left" vertical="top" wrapText="1"/>
      <protection locked="0"/>
    </xf>
    <xf numFmtId="0" fontId="34" fillId="0" borderId="35" xfId="0" applyFont="1" applyBorder="1" applyAlignment="1">
      <alignment horizontal="center" vertical="top" wrapText="1"/>
    </xf>
    <xf numFmtId="0" fontId="34" fillId="0" borderId="68" xfId="0" applyFont="1" applyBorder="1" applyAlignment="1">
      <alignment horizontal="center" vertical="top" wrapText="1"/>
    </xf>
    <xf numFmtId="0" fontId="34" fillId="0" borderId="29" xfId="0" applyFont="1" applyBorder="1" applyAlignment="1">
      <alignment horizontal="center" vertical="top" wrapText="1"/>
    </xf>
    <xf numFmtId="0" fontId="6" fillId="10" borderId="50" xfId="0" applyFont="1" applyFill="1" applyBorder="1" applyAlignment="1">
      <alignment horizontal="left" vertical="top" wrapText="1"/>
    </xf>
    <xf numFmtId="0" fontId="6" fillId="10" borderId="51" xfId="0" applyFont="1" applyFill="1" applyBorder="1" applyAlignment="1">
      <alignment horizontal="left" vertical="top" wrapText="1"/>
    </xf>
    <xf numFmtId="0" fontId="6" fillId="10" borderId="55" xfId="0" applyFont="1" applyFill="1" applyBorder="1" applyAlignment="1">
      <alignment horizontal="left" vertical="top" wrapText="1"/>
    </xf>
    <xf numFmtId="168" fontId="34" fillId="0" borderId="15" xfId="30" applyNumberFormat="1" applyFont="1" applyBorder="1" applyAlignment="1" applyProtection="1">
      <alignment horizontal="center" vertical="top" wrapText="1"/>
      <protection locked="0"/>
    </xf>
    <xf numFmtId="168" fontId="34" fillId="0" borderId="63" xfId="30" applyNumberFormat="1" applyFont="1" applyBorder="1" applyAlignment="1" applyProtection="1">
      <alignment horizontal="center" vertical="top" wrapText="1"/>
      <protection locked="0"/>
    </xf>
    <xf numFmtId="168" fontId="34" fillId="0" borderId="40" xfId="30" applyNumberFormat="1" applyFont="1" applyBorder="1" applyAlignment="1" applyProtection="1">
      <alignment horizontal="center" vertical="top" wrapText="1"/>
      <protection locked="0"/>
    </xf>
    <xf numFmtId="168" fontId="34" fillId="0" borderId="24" xfId="30" applyNumberFormat="1" applyFont="1" applyBorder="1" applyAlignment="1" applyProtection="1">
      <alignment horizontal="center" vertical="top" wrapText="1"/>
      <protection locked="0"/>
    </xf>
    <xf numFmtId="0" fontId="8" fillId="0" borderId="55" xfId="0" applyFont="1" applyFill="1" applyBorder="1" applyAlignment="1" applyProtection="1">
      <alignment horizontal="center" vertical="center" wrapText="1"/>
      <protection locked="0"/>
    </xf>
    <xf numFmtId="0" fontId="8" fillId="0" borderId="72" xfId="0" applyFont="1" applyFill="1" applyBorder="1" applyAlignment="1" applyProtection="1">
      <alignment horizontal="center" vertical="center" wrapText="1"/>
      <protection locked="0"/>
    </xf>
    <xf numFmtId="0" fontId="35" fillId="0" borderId="8" xfId="0" applyFont="1" applyBorder="1" applyAlignment="1">
      <alignment horizontal="left" vertical="top" wrapText="1"/>
    </xf>
    <xf numFmtId="0" fontId="35" fillId="0" borderId="46" xfId="0" applyFont="1" applyBorder="1" applyAlignment="1">
      <alignment horizontal="left" vertical="top" wrapText="1"/>
    </xf>
    <xf numFmtId="0" fontId="35" fillId="0" borderId="26" xfId="0" applyFont="1" applyBorder="1" applyAlignment="1">
      <alignment horizontal="left" vertical="top" wrapText="1"/>
    </xf>
    <xf numFmtId="0" fontId="8" fillId="0" borderId="70" xfId="0" applyFont="1" applyFill="1" applyBorder="1" applyAlignment="1">
      <alignment horizontal="center" vertical="top" wrapText="1"/>
    </xf>
    <xf numFmtId="0" fontId="8" fillId="0" borderId="76" xfId="0" applyFont="1" applyFill="1" applyBorder="1" applyAlignment="1">
      <alignment horizontal="center" vertical="top" wrapText="1"/>
    </xf>
    <xf numFmtId="0" fontId="8" fillId="0" borderId="58" xfId="0" applyFont="1" applyFill="1" applyBorder="1" applyAlignment="1">
      <alignment horizontal="center" vertical="top" wrapText="1"/>
    </xf>
    <xf numFmtId="0" fontId="6" fillId="0" borderId="3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8" fillId="0" borderId="23" xfId="0" applyFont="1" applyFill="1" applyBorder="1" applyAlignment="1">
      <alignment horizontal="center" vertical="top" wrapText="1"/>
    </xf>
    <xf numFmtId="0" fontId="8" fillId="0" borderId="1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7" fillId="12" borderId="40" xfId="0" applyFont="1" applyFill="1" applyBorder="1" applyAlignment="1">
      <alignment horizontal="center" vertical="center" wrapText="1"/>
    </xf>
    <xf numFmtId="0" fontId="17" fillId="12" borderId="41" xfId="0" applyFont="1" applyFill="1" applyBorder="1" applyAlignment="1">
      <alignment horizontal="center" vertical="center" wrapText="1"/>
    </xf>
    <xf numFmtId="0" fontId="17" fillId="12" borderId="0" xfId="0" applyFont="1" applyFill="1" applyBorder="1" applyAlignment="1">
      <alignment horizontal="center" vertical="center" wrapText="1"/>
    </xf>
    <xf numFmtId="0" fontId="17" fillId="12" borderId="24"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54" xfId="0" applyFont="1" applyFill="1" applyBorder="1" applyAlignment="1">
      <alignment horizontal="center" vertical="top" wrapText="1"/>
    </xf>
    <xf numFmtId="0" fontId="8" fillId="0" borderId="50" xfId="0" applyFont="1" applyFill="1" applyBorder="1" applyAlignment="1">
      <alignment horizontal="center" vertical="top" wrapText="1"/>
    </xf>
    <xf numFmtId="0" fontId="8" fillId="0" borderId="52"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17" xfId="0" applyFont="1" applyFill="1" applyBorder="1" applyAlignment="1" applyProtection="1">
      <alignment horizontal="center" vertical="center" wrapText="1"/>
    </xf>
    <xf numFmtId="0" fontId="8" fillId="0" borderId="76"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6" fillId="0" borderId="0" xfId="0" applyFont="1" applyFill="1" applyAlignment="1">
      <alignment horizontal="center"/>
    </xf>
    <xf numFmtId="0" fontId="42" fillId="0" borderId="0" xfId="0" applyFont="1" applyFill="1" applyAlignment="1" applyProtection="1">
      <alignment horizontal="center"/>
      <protection locked="0"/>
    </xf>
    <xf numFmtId="0" fontId="23" fillId="0" borderId="0" xfId="0" applyFont="1" applyFill="1" applyAlignment="1">
      <alignment horizontal="left" vertical="center"/>
    </xf>
    <xf numFmtId="0" fontId="22" fillId="0" borderId="0" xfId="0" applyFont="1" applyFill="1" applyAlignment="1">
      <alignment horizontal="center" wrapText="1"/>
    </xf>
    <xf numFmtId="0" fontId="9" fillId="0" borderId="0" xfId="0" applyFont="1" applyAlignment="1">
      <alignment horizontal="center"/>
    </xf>
    <xf numFmtId="0" fontId="28" fillId="0" borderId="0" xfId="0" applyFont="1" applyAlignment="1">
      <alignment horizontal="left" vertical="center"/>
    </xf>
    <xf numFmtId="0" fontId="43" fillId="0" borderId="0" xfId="0" applyFont="1" applyAlignment="1" applyProtection="1">
      <alignment horizontal="center"/>
      <protection locked="0"/>
    </xf>
    <xf numFmtId="168" fontId="6" fillId="9" borderId="23" xfId="30" applyNumberFormat="1" applyFont="1" applyFill="1" applyBorder="1" applyAlignment="1" applyProtection="1">
      <alignment horizontal="center"/>
      <protection locked="0"/>
    </xf>
    <xf numFmtId="168" fontId="6" fillId="9" borderId="18" xfId="30" applyNumberFormat="1" applyFont="1" applyFill="1" applyBorder="1" applyAlignment="1" applyProtection="1">
      <alignment horizontal="center"/>
      <protection locked="0"/>
    </xf>
    <xf numFmtId="168" fontId="6" fillId="9" borderId="26" xfId="30" applyNumberFormat="1" applyFont="1" applyFill="1" applyBorder="1" applyAlignment="1" applyProtection="1">
      <alignment horizontal="center"/>
      <protection locked="0"/>
    </xf>
    <xf numFmtId="168" fontId="6" fillId="9" borderId="28" xfId="30" applyNumberFormat="1" applyFont="1" applyFill="1" applyBorder="1" applyAlignment="1" applyProtection="1">
      <alignment horizontal="center"/>
      <protection locked="0"/>
    </xf>
    <xf numFmtId="10" fontId="6" fillId="9" borderId="23" xfId="28" applyNumberFormat="1" applyFont="1" applyFill="1" applyBorder="1" applyAlignment="1" applyProtection="1">
      <alignment horizontal="center"/>
      <protection locked="0"/>
    </xf>
    <xf numFmtId="10" fontId="6" fillId="9" borderId="18" xfId="28" applyNumberFormat="1" applyFont="1" applyFill="1" applyBorder="1" applyAlignment="1" applyProtection="1">
      <alignment horizontal="center"/>
      <protection locked="0"/>
    </xf>
    <xf numFmtId="0" fontId="8" fillId="0" borderId="17" xfId="0" applyFont="1" applyBorder="1" applyAlignment="1" applyProtection="1">
      <alignment horizontal="center"/>
    </xf>
    <xf numFmtId="0" fontId="8" fillId="0" borderId="8" xfId="0" applyFont="1" applyBorder="1" applyAlignment="1" applyProtection="1">
      <alignment horizontal="center"/>
    </xf>
    <xf numFmtId="168" fontId="6" fillId="9" borderId="16" xfId="30" applyNumberFormat="1" applyFont="1" applyFill="1" applyBorder="1" applyAlignment="1" applyProtection="1">
      <alignment horizontal="center"/>
      <protection locked="0"/>
    </xf>
    <xf numFmtId="168" fontId="6" fillId="9" borderId="72" xfId="30" applyNumberFormat="1" applyFont="1" applyFill="1" applyBorder="1" applyAlignment="1" applyProtection="1">
      <alignment horizontal="center"/>
      <protection locked="0"/>
    </xf>
    <xf numFmtId="168" fontId="6" fillId="9" borderId="71" xfId="30" applyNumberFormat="1" applyFont="1" applyFill="1" applyBorder="1" applyAlignment="1" applyProtection="1">
      <alignment horizontal="center"/>
      <protection locked="0"/>
    </xf>
    <xf numFmtId="14" fontId="8" fillId="0" borderId="34" xfId="30" applyNumberFormat="1" applyFont="1" applyBorder="1" applyAlignment="1" applyProtection="1">
      <alignment horizontal="center"/>
    </xf>
    <xf numFmtId="14" fontId="8" fillId="0" borderId="42" xfId="30" applyNumberFormat="1" applyFont="1" applyBorder="1" applyAlignment="1" applyProtection="1">
      <alignment horizontal="center"/>
    </xf>
    <xf numFmtId="14" fontId="8" fillId="0" borderId="17" xfId="0" applyNumberFormat="1" applyFont="1" applyBorder="1" applyAlignment="1" applyProtection="1">
      <alignment horizontal="center"/>
    </xf>
    <xf numFmtId="14" fontId="8" fillId="0" borderId="58" xfId="0" applyNumberFormat="1" applyFont="1" applyBorder="1" applyAlignment="1" applyProtection="1">
      <alignment horizontal="center"/>
    </xf>
    <xf numFmtId="14" fontId="8" fillId="0" borderId="76" xfId="0" applyNumberFormat="1" applyFont="1" applyBorder="1" applyAlignment="1" applyProtection="1">
      <alignment horizontal="center"/>
    </xf>
    <xf numFmtId="14" fontId="8" fillId="0" borderId="17" xfId="0" applyNumberFormat="1" applyFont="1" applyFill="1" applyBorder="1" applyAlignment="1" applyProtection="1">
      <alignment horizontal="center"/>
    </xf>
    <xf numFmtId="14" fontId="8" fillId="0" borderId="58" xfId="0" applyNumberFormat="1" applyFont="1" applyFill="1" applyBorder="1" applyAlignment="1" applyProtection="1">
      <alignment horizontal="center"/>
    </xf>
    <xf numFmtId="168" fontId="6" fillId="9" borderId="30" xfId="30" applyNumberFormat="1" applyFont="1" applyFill="1" applyBorder="1" applyAlignment="1" applyProtection="1">
      <alignment horizontal="center"/>
      <protection locked="0"/>
    </xf>
    <xf numFmtId="168" fontId="6" fillId="9" borderId="31" xfId="30" applyNumberFormat="1" applyFont="1" applyFill="1" applyBorder="1" applyAlignment="1" applyProtection="1">
      <alignment horizontal="center"/>
      <protection locked="0"/>
    </xf>
    <xf numFmtId="168" fontId="6" fillId="9" borderId="29" xfId="30" applyNumberFormat="1" applyFont="1" applyFill="1" applyBorder="1" applyAlignment="1" applyProtection="1">
      <alignment horizontal="center"/>
      <protection locked="0"/>
    </xf>
    <xf numFmtId="168" fontId="6" fillId="9" borderId="33" xfId="30" applyNumberFormat="1" applyFont="1" applyFill="1" applyBorder="1" applyAlignment="1" applyProtection="1">
      <alignment horizontal="center"/>
      <protection locked="0"/>
    </xf>
    <xf numFmtId="14" fontId="8" fillId="0" borderId="76" xfId="0" applyNumberFormat="1" applyFont="1" applyFill="1" applyBorder="1" applyAlignment="1" applyProtection="1">
      <alignment horizontal="center"/>
    </xf>
    <xf numFmtId="14" fontId="8" fillId="0" borderId="27" xfId="30" applyNumberFormat="1" applyFont="1" applyBorder="1" applyAlignment="1" applyProtection="1">
      <alignment horizontal="center"/>
    </xf>
    <xf numFmtId="14" fontId="8" fillId="0" borderId="70" xfId="30" applyNumberFormat="1" applyFont="1" applyBorder="1" applyAlignment="1" applyProtection="1">
      <alignment horizontal="center"/>
    </xf>
    <xf numFmtId="10" fontId="6" fillId="9" borderId="26" xfId="28" applyNumberFormat="1" applyFont="1" applyFill="1" applyBorder="1" applyAlignment="1" applyProtection="1">
      <alignment horizontal="center"/>
      <protection locked="0"/>
    </xf>
    <xf numFmtId="10" fontId="6" fillId="9" borderId="28" xfId="28" applyNumberFormat="1" applyFont="1" applyFill="1" applyBorder="1" applyAlignment="1" applyProtection="1">
      <alignment horizontal="center"/>
      <protection locked="0"/>
    </xf>
    <xf numFmtId="168" fontId="8" fillId="9" borderId="23" xfId="30" applyNumberFormat="1" applyFont="1" applyFill="1" applyBorder="1" applyAlignment="1" applyProtection="1">
      <alignment horizontal="center"/>
      <protection locked="0"/>
    </xf>
    <xf numFmtId="168" fontId="8" fillId="9" borderId="18" xfId="30" applyNumberFormat="1" applyFont="1" applyFill="1" applyBorder="1" applyAlignment="1" applyProtection="1">
      <alignment horizontal="center"/>
      <protection locked="0"/>
    </xf>
    <xf numFmtId="0" fontId="23" fillId="0" borderId="0" xfId="0" applyFont="1" applyFill="1" applyAlignment="1" applyProtection="1">
      <alignment horizontal="left" vertical="center"/>
    </xf>
    <xf numFmtId="0" fontId="8" fillId="0" borderId="12" xfId="0" applyFont="1" applyBorder="1" applyAlignment="1" applyProtection="1">
      <alignment horizontal="left" wrapText="1"/>
    </xf>
    <xf numFmtId="0" fontId="8" fillId="0" borderId="47" xfId="0" applyFont="1" applyBorder="1" applyAlignment="1" applyProtection="1">
      <alignment horizontal="left" wrapText="1"/>
    </xf>
    <xf numFmtId="0" fontId="24" fillId="0" borderId="0" xfId="0" applyFont="1" applyBorder="1" applyAlignment="1" applyProtection="1">
      <alignment horizontal="center" wrapText="1"/>
    </xf>
    <xf numFmtId="168" fontId="8" fillId="9" borderId="26" xfId="30" applyNumberFormat="1" applyFont="1" applyFill="1" applyBorder="1" applyAlignment="1" applyProtection="1">
      <alignment horizontal="center"/>
      <protection locked="0"/>
    </xf>
    <xf numFmtId="168" fontId="8" fillId="9" borderId="28" xfId="30" applyNumberFormat="1" applyFont="1" applyFill="1" applyBorder="1" applyAlignment="1" applyProtection="1">
      <alignment horizontal="center"/>
      <protection locked="0"/>
    </xf>
    <xf numFmtId="0" fontId="58" fillId="13" borderId="34" xfId="0" applyFont="1" applyFill="1" applyBorder="1" applyAlignment="1" applyProtection="1">
      <alignment horizontal="center" vertical="top" wrapText="1"/>
    </xf>
    <xf numFmtId="0" fontId="58" fillId="13" borderId="23" xfId="0" applyFont="1" applyFill="1" applyBorder="1" applyAlignment="1" applyProtection="1">
      <alignment horizontal="center" vertical="top" wrapText="1"/>
    </xf>
    <xf numFmtId="0" fontId="8" fillId="4" borderId="2" xfId="27" applyFont="1" applyFill="1" applyBorder="1" applyAlignment="1">
      <alignment horizontal="center" vertical="center"/>
    </xf>
    <xf numFmtId="0" fontId="8" fillId="0" borderId="2" xfId="27" applyFont="1" applyBorder="1" applyAlignment="1">
      <alignment horizontal="left"/>
    </xf>
    <xf numFmtId="168" fontId="8" fillId="0" borderId="2" xfId="30" applyNumberFormat="1" applyFont="1" applyBorder="1" applyAlignment="1">
      <alignment horizontal="right"/>
    </xf>
    <xf numFmtId="0" fontId="8" fillId="9" borderId="2" xfId="27" applyFont="1" applyFill="1" applyBorder="1" applyAlignment="1">
      <alignment horizontal="right"/>
    </xf>
    <xf numFmtId="168" fontId="8" fillId="9" borderId="2" xfId="30" applyNumberFormat="1" applyFont="1" applyFill="1" applyBorder="1" applyAlignment="1">
      <alignment horizontal="right"/>
    </xf>
    <xf numFmtId="14" fontId="8" fillId="9" borderId="2" xfId="27" applyNumberFormat="1" applyFont="1" applyFill="1" applyBorder="1" applyAlignment="1">
      <alignment horizontal="right"/>
    </xf>
    <xf numFmtId="166" fontId="8" fillId="0" borderId="28" xfId="0" applyNumberFormat="1" applyFont="1" applyFill="1" applyBorder="1" applyAlignment="1">
      <alignment horizontal="center"/>
    </xf>
    <xf numFmtId="166" fontId="8" fillId="0" borderId="46" xfId="0" applyNumberFormat="1" applyFont="1" applyFill="1" applyBorder="1" applyAlignment="1">
      <alignment horizontal="center"/>
    </xf>
    <xf numFmtId="166" fontId="8" fillId="0" borderId="26" xfId="0" applyNumberFormat="1" applyFont="1" applyFill="1" applyBorder="1" applyAlignment="1">
      <alignment horizontal="center"/>
    </xf>
    <xf numFmtId="10" fontId="8" fillId="9" borderId="2" xfId="27" applyNumberFormat="1" applyFont="1" applyFill="1" applyBorder="1" applyAlignment="1">
      <alignment horizontal="right"/>
    </xf>
    <xf numFmtId="165" fontId="8" fillId="11" borderId="2" xfId="27" applyNumberFormat="1" applyFont="1" applyFill="1" applyBorder="1" applyAlignment="1">
      <alignment horizontal="right"/>
    </xf>
    <xf numFmtId="0" fontId="53" fillId="0" borderId="2" xfId="24" applyFont="1" applyBorder="1" applyAlignment="1">
      <alignment vertical="center" wrapText="1"/>
    </xf>
    <xf numFmtId="0" fontId="63" fillId="0" borderId="2" xfId="24" applyFont="1" applyBorder="1" applyAlignment="1">
      <alignment horizontal="center" vertical="center" wrapText="1"/>
    </xf>
    <xf numFmtId="0" fontId="63" fillId="0" borderId="79" xfId="24" applyFont="1" applyBorder="1" applyAlignment="1">
      <alignment horizontal="center" vertical="center" wrapText="1"/>
    </xf>
    <xf numFmtId="0" fontId="63" fillId="0" borderId="80" xfId="24" applyFont="1" applyBorder="1" applyAlignment="1">
      <alignment horizontal="center" vertical="center" wrapText="1"/>
    </xf>
    <xf numFmtId="0" fontId="53" fillId="0" borderId="2" xfId="24" applyFont="1" applyBorder="1" applyAlignment="1">
      <alignment horizontal="left" vertical="center" wrapText="1"/>
    </xf>
    <xf numFmtId="0" fontId="46" fillId="0" borderId="37" xfId="24" applyFont="1" applyBorder="1" applyAlignment="1">
      <alignment horizontal="left" vertical="center" wrapText="1"/>
    </xf>
    <xf numFmtId="0" fontId="46" fillId="0" borderId="77" xfId="24" applyFont="1" applyBorder="1" applyAlignment="1">
      <alignment horizontal="left" vertical="center" wrapText="1"/>
    </xf>
    <xf numFmtId="0" fontId="46" fillId="0" borderId="45" xfId="24" applyFont="1" applyBorder="1" applyAlignment="1">
      <alignment horizontal="left" vertical="center" wrapText="1"/>
    </xf>
    <xf numFmtId="0" fontId="46" fillId="0" borderId="69" xfId="24" applyFont="1" applyBorder="1" applyAlignment="1">
      <alignment horizontal="left" vertical="center" wrapText="1"/>
    </xf>
    <xf numFmtId="0" fontId="46" fillId="0" borderId="55" xfId="24" applyFont="1" applyBorder="1" applyAlignment="1">
      <alignment horizontal="left" vertical="center" wrapText="1"/>
    </xf>
    <xf numFmtId="0" fontId="46" fillId="0" borderId="56" xfId="24" applyFont="1" applyBorder="1" applyAlignment="1">
      <alignment horizontal="left" vertical="center" wrapText="1"/>
    </xf>
    <xf numFmtId="0" fontId="62" fillId="0" borderId="0" xfId="24" applyFont="1" applyAlignment="1">
      <alignment horizontal="center" vertical="center" wrapText="1"/>
    </xf>
    <xf numFmtId="0" fontId="46" fillId="0" borderId="32" xfId="0" applyFont="1" applyFill="1" applyBorder="1" applyAlignment="1">
      <alignment horizontal="left" vertical="top" wrapText="1"/>
    </xf>
    <xf numFmtId="0" fontId="46" fillId="0" borderId="41" xfId="0" applyFont="1" applyFill="1" applyBorder="1" applyAlignment="1">
      <alignment horizontal="left" vertical="top" wrapText="1"/>
    </xf>
    <xf numFmtId="0" fontId="46" fillId="0" borderId="24" xfId="0" applyFont="1" applyFill="1" applyBorder="1" applyAlignment="1">
      <alignment horizontal="left" vertical="top" wrapText="1"/>
    </xf>
    <xf numFmtId="0" fontId="13" fillId="0" borderId="19" xfId="0" applyFont="1" applyFill="1" applyBorder="1" applyAlignment="1">
      <alignment horizontal="center"/>
    </xf>
    <xf numFmtId="0" fontId="13" fillId="0" borderId="2" xfId="0" applyFont="1" applyFill="1" applyBorder="1" applyAlignment="1">
      <alignment horizontal="center"/>
    </xf>
    <xf numFmtId="0" fontId="68" fillId="16" borderId="2" xfId="0" applyFont="1" applyFill="1" applyBorder="1" applyAlignment="1">
      <alignment horizontal="center" vertical="center"/>
    </xf>
    <xf numFmtId="0" fontId="46" fillId="0" borderId="15" xfId="0" applyFont="1" applyFill="1" applyBorder="1" applyAlignment="1">
      <alignment horizontal="left" vertical="center" wrapText="1"/>
    </xf>
    <xf numFmtId="0" fontId="46" fillId="0" borderId="36" xfId="0" applyFont="1" applyFill="1" applyBorder="1" applyAlignment="1">
      <alignment horizontal="left" vertical="center" wrapText="1"/>
    </xf>
    <xf numFmtId="0" fontId="46" fillId="0" borderId="63" xfId="0" applyFont="1" applyFill="1" applyBorder="1" applyAlignment="1">
      <alignment horizontal="left" vertical="center" wrapText="1"/>
    </xf>
    <xf numFmtId="168" fontId="13" fillId="0" borderId="53" xfId="31" applyNumberFormat="1" applyFont="1" applyFill="1" applyBorder="1" applyAlignment="1">
      <alignment horizontal="center" vertical="top" wrapText="1"/>
    </xf>
    <xf numFmtId="168" fontId="13" fillId="0" borderId="20" xfId="31" applyNumberFormat="1" applyFont="1" applyFill="1" applyBorder="1" applyAlignment="1">
      <alignment horizontal="center" vertical="top" wrapText="1"/>
    </xf>
    <xf numFmtId="168" fontId="13" fillId="0" borderId="21" xfId="31" applyNumberFormat="1" applyFont="1" applyFill="1" applyBorder="1" applyAlignment="1">
      <alignment horizontal="center" vertical="top" wrapText="1"/>
    </xf>
    <xf numFmtId="0" fontId="68" fillId="16" borderId="34" xfId="0" applyFont="1" applyFill="1" applyBorder="1" applyAlignment="1">
      <alignment horizontal="center" vertical="center"/>
    </xf>
    <xf numFmtId="0" fontId="68" fillId="16" borderId="22" xfId="0" applyFont="1" applyFill="1" applyBorder="1" applyAlignment="1">
      <alignment horizontal="center" vertical="center"/>
    </xf>
    <xf numFmtId="0" fontId="68" fillId="16" borderId="42" xfId="0" applyFont="1" applyFill="1" applyBorder="1" applyAlignment="1">
      <alignment horizontal="center" vertical="center"/>
    </xf>
    <xf numFmtId="0" fontId="46" fillId="0" borderId="15" xfId="0" applyFont="1" applyFill="1" applyBorder="1" applyAlignment="1">
      <alignment horizontal="center" vertical="top" wrapText="1"/>
    </xf>
    <xf numFmtId="0" fontId="46" fillId="0" borderId="36" xfId="0" applyFont="1" applyFill="1" applyBorder="1" applyAlignment="1">
      <alignment horizontal="center" vertical="top" wrapText="1"/>
    </xf>
    <xf numFmtId="0" fontId="46" fillId="0" borderId="63" xfId="0" applyFont="1" applyFill="1" applyBorder="1" applyAlignment="1">
      <alignment horizontal="center" vertical="top" wrapText="1"/>
    </xf>
    <xf numFmtId="168" fontId="13" fillId="0" borderId="15" xfId="31" applyNumberFormat="1" applyFont="1" applyFill="1" applyBorder="1" applyAlignment="1">
      <alignment horizontal="center" vertical="top" wrapText="1"/>
    </xf>
    <xf numFmtId="168" fontId="13" fillId="0" borderId="36" xfId="31" applyNumberFormat="1" applyFont="1" applyFill="1" applyBorder="1" applyAlignment="1">
      <alignment horizontal="center" vertical="top" wrapText="1"/>
    </xf>
    <xf numFmtId="168" fontId="13" fillId="0" borderId="63" xfId="31" applyNumberFormat="1" applyFont="1" applyFill="1" applyBorder="1" applyAlignment="1">
      <alignment horizontal="center" vertical="top" wrapText="1"/>
    </xf>
    <xf numFmtId="168" fontId="13" fillId="0" borderId="40" xfId="31" applyNumberFormat="1" applyFont="1" applyFill="1" applyBorder="1" applyAlignment="1">
      <alignment horizontal="left" vertical="top" wrapText="1"/>
    </xf>
    <xf numFmtId="168" fontId="13" fillId="0" borderId="41" xfId="31" applyNumberFormat="1" applyFont="1" applyFill="1" applyBorder="1" applyAlignment="1">
      <alignment horizontal="left" vertical="top" wrapText="1"/>
    </xf>
    <xf numFmtId="168" fontId="13" fillId="0" borderId="24" xfId="31" applyNumberFormat="1" applyFont="1" applyFill="1" applyBorder="1" applyAlignment="1">
      <alignment horizontal="left" vertical="top" wrapText="1"/>
    </xf>
    <xf numFmtId="168" fontId="13" fillId="0" borderId="48" xfId="31" applyNumberFormat="1" applyFont="1" applyFill="1" applyBorder="1" applyAlignment="1">
      <alignment horizontal="left" vertical="top" wrapText="1"/>
    </xf>
    <xf numFmtId="168" fontId="13" fillId="0" borderId="3" xfId="31" applyNumberFormat="1" applyFont="1" applyFill="1" applyBorder="1" applyAlignment="1">
      <alignment horizontal="left" vertical="top" wrapText="1"/>
    </xf>
    <xf numFmtId="168" fontId="13" fillId="0" borderId="43" xfId="31" applyNumberFormat="1" applyFont="1" applyFill="1" applyBorder="1" applyAlignment="1">
      <alignment horizontal="left" vertical="top" wrapText="1"/>
    </xf>
    <xf numFmtId="0" fontId="13" fillId="0" borderId="15" xfId="0" applyFont="1" applyFill="1" applyBorder="1" applyAlignment="1">
      <alignment horizontal="center" vertical="top" wrapText="1"/>
    </xf>
    <xf numFmtId="0" fontId="13" fillId="0" borderId="36" xfId="0" applyFont="1" applyFill="1" applyBorder="1" applyAlignment="1">
      <alignment horizontal="center" vertical="top" wrapText="1"/>
    </xf>
    <xf numFmtId="0" fontId="13" fillId="0" borderId="63" xfId="0" applyFont="1" applyFill="1" applyBorder="1" applyAlignment="1">
      <alignment horizontal="center" vertical="top" wrapText="1"/>
    </xf>
    <xf numFmtId="0" fontId="67" fillId="0" borderId="0" xfId="0" applyFont="1" applyFill="1" applyBorder="1" applyAlignment="1">
      <alignment horizontal="center" vertical="top" wrapText="1"/>
    </xf>
    <xf numFmtId="168" fontId="13" fillId="0" borderId="48" xfId="31" applyNumberFormat="1" applyFont="1" applyFill="1" applyBorder="1" applyAlignment="1">
      <alignment horizontal="center" vertical="top" wrapText="1"/>
    </xf>
    <xf numFmtId="168" fontId="13" fillId="0" borderId="3" xfId="31" applyNumberFormat="1" applyFont="1" applyFill="1" applyBorder="1" applyAlignment="1">
      <alignment horizontal="center" vertical="top" wrapText="1"/>
    </xf>
    <xf numFmtId="168" fontId="13" fillId="0" borderId="43" xfId="31" applyNumberFormat="1" applyFont="1" applyFill="1" applyBorder="1" applyAlignment="1">
      <alignment horizontal="center" vertical="top" wrapText="1"/>
    </xf>
    <xf numFmtId="0" fontId="46" fillId="0" borderId="15" xfId="0" applyFont="1" applyFill="1" applyBorder="1" applyAlignment="1">
      <alignment horizontal="center" vertical="center"/>
    </xf>
    <xf numFmtId="0" fontId="46" fillId="0" borderId="36" xfId="0" applyFont="1" applyFill="1" applyBorder="1" applyAlignment="1">
      <alignment horizontal="center" vertical="center"/>
    </xf>
    <xf numFmtId="0" fontId="46" fillId="0" borderId="63" xfId="0" applyFont="1" applyFill="1" applyBorder="1" applyAlignment="1">
      <alignment horizontal="center" vertical="center"/>
    </xf>
    <xf numFmtId="0" fontId="10" fillId="0" borderId="18" xfId="0" applyFont="1" applyBorder="1" applyAlignment="1">
      <alignment horizontal="center" vertical="justify"/>
    </xf>
    <xf numFmtId="9" fontId="8" fillId="0" borderId="73" xfId="28" applyFont="1" applyBorder="1" applyAlignment="1">
      <alignment horizontal="center" vertical="top" wrapText="1"/>
    </xf>
    <xf numFmtId="9" fontId="8" fillId="0" borderId="49" xfId="28" applyFont="1" applyBorder="1" applyAlignment="1">
      <alignment horizontal="center" vertical="top" wrapText="1"/>
    </xf>
    <xf numFmtId="0" fontId="10" fillId="0" borderId="18" xfId="0" applyFont="1" applyBorder="1" applyAlignment="1">
      <alignment horizontal="center"/>
    </xf>
    <xf numFmtId="0" fontId="10" fillId="0" borderId="31" xfId="0" applyFont="1" applyBorder="1" applyAlignment="1">
      <alignment horizontal="center"/>
    </xf>
    <xf numFmtId="38" fontId="8" fillId="3" borderId="23" xfId="15" applyFont="1" applyBorder="1" applyAlignment="1">
      <alignment horizontal="center" vertical="top" wrapText="1"/>
    </xf>
    <xf numFmtId="167" fontId="8" fillId="0" borderId="52" xfId="30" applyNumberFormat="1" applyFont="1" applyFill="1" applyBorder="1" applyAlignment="1">
      <alignment horizontal="center" vertical="top"/>
    </xf>
    <xf numFmtId="167" fontId="8" fillId="0" borderId="51" xfId="30" applyNumberFormat="1" applyFont="1" applyFill="1" applyBorder="1" applyAlignment="1">
      <alignment horizontal="center" vertical="top"/>
    </xf>
    <xf numFmtId="0" fontId="10" fillId="0" borderId="42" xfId="0" applyFont="1" applyBorder="1" applyAlignment="1">
      <alignment horizontal="center"/>
    </xf>
    <xf numFmtId="165" fontId="12" fillId="0" borderId="2" xfId="11" applyFont="1" applyFill="1" applyBorder="1" applyAlignment="1">
      <alignment horizontal="center" vertical="top"/>
    </xf>
    <xf numFmtId="167" fontId="12" fillId="0" borderId="2" xfId="30" applyNumberFormat="1" applyFont="1" applyFill="1" applyBorder="1" applyAlignment="1">
      <alignment horizontal="center" vertical="top"/>
    </xf>
    <xf numFmtId="165" fontId="8" fillId="0" borderId="2" xfId="11" applyFont="1" applyFill="1" applyBorder="1" applyAlignment="1">
      <alignment horizontal="center" vertical="top"/>
    </xf>
    <xf numFmtId="165" fontId="8" fillId="0" borderId="19" xfId="11" applyFont="1" applyFill="1" applyBorder="1" applyAlignment="1">
      <alignment horizontal="center" vertical="top"/>
    </xf>
    <xf numFmtId="38" fontId="8" fillId="3" borderId="34" xfId="15" applyFont="1" applyBorder="1" applyAlignment="1">
      <alignment horizontal="center" vertical="top" wrapText="1"/>
    </xf>
    <xf numFmtId="38" fontId="2" fillId="3" borderId="22" xfId="17" applyFont="1" applyBorder="1" applyAlignment="1">
      <alignment horizontal="center" vertical="top" wrapText="1"/>
    </xf>
    <xf numFmtId="38" fontId="2" fillId="3" borderId="2" xfId="17" applyFont="1" applyBorder="1" applyAlignment="1">
      <alignment horizontal="center" vertical="top" wrapText="1"/>
    </xf>
    <xf numFmtId="165" fontId="12" fillId="0" borderId="22" xfId="11" applyFont="1" applyFill="1" applyBorder="1" applyAlignment="1">
      <alignment horizontal="center" vertical="top"/>
    </xf>
    <xf numFmtId="9" fontId="10" fillId="0" borderId="18" xfId="0" applyNumberFormat="1" applyFont="1" applyBorder="1" applyAlignment="1">
      <alignment horizontal="center"/>
    </xf>
    <xf numFmtId="165" fontId="12" fillId="0" borderId="2" xfId="28" applyNumberFormat="1" applyFont="1" applyFill="1" applyBorder="1" applyAlignment="1">
      <alignment horizontal="center" vertical="top"/>
    </xf>
    <xf numFmtId="165" fontId="12" fillId="0" borderId="19" xfId="28" applyNumberFormat="1" applyFont="1" applyFill="1" applyBorder="1" applyAlignment="1">
      <alignment horizontal="center" vertical="top"/>
    </xf>
    <xf numFmtId="38" fontId="2" fillId="3" borderId="2" xfId="17" applyFont="1" applyBorder="1" applyAlignment="1">
      <alignment horizontal="left" vertical="top" wrapText="1"/>
    </xf>
    <xf numFmtId="168" fontId="12" fillId="0" borderId="2" xfId="30" applyNumberFormat="1" applyFont="1" applyFill="1" applyBorder="1" applyAlignment="1">
      <alignment horizontal="center" vertical="top"/>
    </xf>
    <xf numFmtId="0" fontId="28" fillId="0" borderId="0" xfId="0" applyFont="1" applyFill="1" applyAlignment="1">
      <alignment horizontal="center" vertical="center"/>
    </xf>
    <xf numFmtId="0" fontId="28" fillId="0" borderId="3" xfId="0" applyFont="1" applyFill="1" applyBorder="1" applyAlignment="1">
      <alignment horizontal="center" vertical="center"/>
    </xf>
    <xf numFmtId="38" fontId="7" fillId="5" borderId="40" xfId="14" applyFont="1" applyBorder="1" applyAlignment="1">
      <alignment horizontal="center" vertical="top" wrapText="1"/>
    </xf>
    <xf numFmtId="38" fontId="7" fillId="5" borderId="41" xfId="14" applyFont="1" applyBorder="1" applyAlignment="1">
      <alignment horizontal="center" vertical="top" wrapText="1"/>
    </xf>
    <xf numFmtId="38" fontId="7" fillId="5" borderId="32" xfId="14" applyFont="1" applyBorder="1" applyAlignment="1">
      <alignment horizontal="center" vertical="top" wrapText="1"/>
    </xf>
    <xf numFmtId="38" fontId="7" fillId="5" borderId="0" xfId="14" applyFont="1" applyBorder="1" applyAlignment="1">
      <alignment horizontal="center" vertical="top" wrapText="1"/>
    </xf>
    <xf numFmtId="38" fontId="2" fillId="3" borderId="19" xfId="17" applyFont="1" applyBorder="1" applyAlignment="1">
      <alignment horizontal="center" vertical="top" wrapText="1"/>
    </xf>
    <xf numFmtId="168" fontId="12" fillId="0" borderId="2" xfId="30" applyNumberFormat="1" applyFont="1" applyBorder="1" applyAlignment="1">
      <alignment horizontal="center" vertical="top" wrapText="1"/>
    </xf>
    <xf numFmtId="168" fontId="12" fillId="0" borderId="19" xfId="30" applyNumberFormat="1" applyFont="1" applyBorder="1" applyAlignment="1">
      <alignment horizontal="center" vertical="top" wrapText="1"/>
    </xf>
    <xf numFmtId="9" fontId="12" fillId="0" borderId="2" xfId="28" applyFont="1" applyBorder="1" applyAlignment="1">
      <alignment horizontal="center" vertical="top"/>
    </xf>
    <xf numFmtId="165" fontId="7" fillId="0" borderId="66" xfId="28" applyNumberFormat="1" applyFont="1" applyFill="1" applyBorder="1" applyAlignment="1">
      <alignment horizontal="center" vertical="top" wrapText="1"/>
    </xf>
    <xf numFmtId="165" fontId="7" fillId="0" borderId="51" xfId="28" applyNumberFormat="1" applyFont="1" applyFill="1" applyBorder="1" applyAlignment="1">
      <alignment horizontal="center" vertical="top" wrapText="1"/>
    </xf>
    <xf numFmtId="38" fontId="8" fillId="0" borderId="53" xfId="21" applyFont="1" applyFill="1" applyBorder="1" applyAlignment="1">
      <alignment horizontal="center" vertical="top"/>
    </xf>
    <xf numFmtId="38" fontId="8" fillId="0" borderId="20" xfId="21" applyFont="1" applyFill="1" applyBorder="1" applyAlignment="1">
      <alignment horizontal="center" vertical="top"/>
    </xf>
    <xf numFmtId="38" fontId="8" fillId="3" borderId="30" xfId="15" applyFont="1" applyBorder="1" applyAlignment="1">
      <alignment horizontal="center" vertical="top" wrapText="1"/>
    </xf>
    <xf numFmtId="168" fontId="12" fillId="0" borderId="52" xfId="30" applyNumberFormat="1" applyFont="1" applyBorder="1" applyAlignment="1">
      <alignment horizontal="center" vertical="top" wrapText="1"/>
    </xf>
    <xf numFmtId="168" fontId="12" fillId="0" borderId="75" xfId="30" applyNumberFormat="1" applyFont="1" applyBorder="1" applyAlignment="1">
      <alignment horizontal="center" vertical="top" wrapText="1"/>
    </xf>
    <xf numFmtId="168" fontId="10" fillId="0" borderId="18" xfId="30" applyNumberFormat="1" applyFont="1" applyBorder="1" applyAlignment="1">
      <alignment horizontal="center"/>
    </xf>
    <xf numFmtId="38" fontId="12" fillId="0" borderId="2" xfId="8" applyFont="1" applyBorder="1" applyAlignment="1">
      <alignment horizontal="center" vertical="top" wrapText="1"/>
    </xf>
    <xf numFmtId="168" fontId="12" fillId="0" borderId="2" xfId="30" applyNumberFormat="1" applyFont="1" applyBorder="1" applyAlignment="1">
      <alignment horizontal="center" vertical="top"/>
    </xf>
    <xf numFmtId="0" fontId="10" fillId="0" borderId="73" xfId="0" applyFont="1" applyBorder="1" applyAlignment="1">
      <alignment horizontal="center"/>
    </xf>
    <xf numFmtId="0" fontId="10" fillId="0" borderId="78" xfId="0" applyFont="1" applyBorder="1" applyAlignment="1">
      <alignment horizontal="center"/>
    </xf>
    <xf numFmtId="165" fontId="12" fillId="0" borderId="2" xfId="28" applyNumberFormat="1" applyFont="1" applyBorder="1" applyAlignment="1">
      <alignment horizontal="center" vertical="top"/>
    </xf>
    <xf numFmtId="165" fontId="12" fillId="0" borderId="22" xfId="11" applyNumberFormat="1" applyFont="1" applyFill="1" applyBorder="1" applyAlignment="1">
      <alignment horizontal="center" vertical="top"/>
    </xf>
    <xf numFmtId="165" fontId="12" fillId="0" borderId="2" xfId="11" applyNumberFormat="1" applyFont="1" applyFill="1" applyBorder="1" applyAlignment="1">
      <alignment horizontal="center" vertical="top"/>
    </xf>
    <xf numFmtId="9" fontId="12" fillId="0" borderId="22" xfId="28" applyFont="1" applyBorder="1" applyAlignment="1">
      <alignment horizontal="center" vertical="top"/>
    </xf>
    <xf numFmtId="9" fontId="12" fillId="0" borderId="52" xfId="28" applyFont="1" applyBorder="1" applyAlignment="1">
      <alignment horizontal="center" vertical="top"/>
    </xf>
    <xf numFmtId="9" fontId="12" fillId="0" borderId="75" xfId="28" applyFont="1" applyBorder="1" applyAlignment="1">
      <alignment horizontal="center" vertical="top"/>
    </xf>
    <xf numFmtId="38" fontId="7" fillId="0" borderId="67" xfId="14" applyFont="1" applyFill="1" applyBorder="1" applyAlignment="1">
      <alignment horizontal="center" vertical="top" wrapText="1"/>
    </xf>
    <xf numFmtId="38" fontId="7" fillId="0" borderId="49" xfId="14" applyFont="1" applyFill="1" applyBorder="1" applyAlignment="1">
      <alignment horizontal="center" vertical="top" wrapText="1"/>
    </xf>
    <xf numFmtId="0" fontId="10" fillId="0" borderId="73" xfId="0" applyFont="1" applyBorder="1" applyAlignment="1">
      <alignment horizontal="center" vertical="justify"/>
    </xf>
    <xf numFmtId="0" fontId="10" fillId="0" borderId="78" xfId="0" applyFont="1" applyBorder="1" applyAlignment="1">
      <alignment horizontal="center" vertical="justify"/>
    </xf>
    <xf numFmtId="165" fontId="12" fillId="0" borderId="52" xfId="28" applyNumberFormat="1" applyFont="1" applyBorder="1" applyAlignment="1">
      <alignment horizontal="center" vertical="top"/>
    </xf>
    <xf numFmtId="165" fontId="12" fillId="0" borderId="61" xfId="28" applyNumberFormat="1" applyFont="1" applyBorder="1" applyAlignment="1">
      <alignment horizontal="center" vertical="top"/>
    </xf>
    <xf numFmtId="0" fontId="10" fillId="0" borderId="49" xfId="0" applyFont="1" applyBorder="1" applyAlignment="1">
      <alignment horizontal="center" vertical="justify"/>
    </xf>
    <xf numFmtId="0" fontId="8" fillId="0" borderId="34" xfId="0" applyFont="1" applyFill="1" applyBorder="1" applyAlignment="1" applyProtection="1">
      <alignment horizontal="left" wrapText="1"/>
    </xf>
    <xf numFmtId="0" fontId="8" fillId="0" borderId="23" xfId="0" applyFont="1" applyFill="1" applyBorder="1" applyAlignment="1" applyProtection="1">
      <alignment horizontal="left" wrapText="1"/>
    </xf>
    <xf numFmtId="38" fontId="8" fillId="0" borderId="0" xfId="15" applyFont="1" applyFill="1" applyBorder="1" applyAlignment="1">
      <alignment horizontal="center" vertical="top" wrapText="1"/>
    </xf>
    <xf numFmtId="38" fontId="8" fillId="0" borderId="0" xfId="16" applyFont="1" applyFill="1" applyBorder="1" applyAlignment="1">
      <alignment horizontal="center" vertical="top" wrapText="1"/>
    </xf>
    <xf numFmtId="168" fontId="6" fillId="0" borderId="0" xfId="30" applyNumberFormat="1" applyFont="1" applyBorder="1" applyAlignment="1" applyProtection="1">
      <alignment horizontal="center"/>
      <protection locked="0"/>
    </xf>
  </cellXfs>
  <cellStyles count="32">
    <cellStyle name="ColHeadings" xfId="1"/>
    <cellStyle name="ColHeadingsY2" xfId="2"/>
    <cellStyle name="ColHeadingsY3" xfId="3"/>
    <cellStyle name="Explanation" xfId="4"/>
    <cellStyle name="Explanation Heading" xfId="5"/>
    <cellStyle name="FormBorder" xfId="6"/>
    <cellStyle name="FormLower" xfId="7"/>
    <cellStyle name="Formula" xfId="8"/>
    <cellStyle name="Formula Ratio" xfId="9"/>
    <cellStyle name="FormulaP0" xfId="10"/>
    <cellStyle name="FormulaP1" xfId="11"/>
    <cellStyle name="FormulaP2" xfId="12"/>
    <cellStyle name="FormUpper" xfId="13"/>
    <cellStyle name="Level1" xfId="14"/>
    <cellStyle name="Level2" xfId="15"/>
    <cellStyle name="Level2Adj" xfId="16"/>
    <cellStyle name="Level2Def" xfId="17"/>
    <cellStyle name="Level2DefAdj" xfId="18"/>
    <cellStyle name="Level2Mnth" xfId="19"/>
    <cellStyle name="Level2MnthAdj" xfId="20"/>
    <cellStyle name="SheetTitle" xfId="21"/>
    <cellStyle name="SubAcct" xfId="22"/>
    <cellStyle name="Гиперссылка" xfId="23" builtinId="8"/>
    <cellStyle name="Обычный" xfId="0" builtinId="0"/>
    <cellStyle name="Обычный 2" xfId="24"/>
    <cellStyle name="Обычный 2 15 2" xfId="25"/>
    <cellStyle name="Обычный 3" xfId="26"/>
    <cellStyle name="Обычный_Experiment_Schedule" xfId="27"/>
    <cellStyle name="Процентный" xfId="28" builtinId="5"/>
    <cellStyle name="Процентный 2" xfId="29"/>
    <cellStyle name="Финансовый" xfId="30" builtinId="3"/>
    <cellStyle name="Финансовый 2"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72864321608039"/>
          <c:y val="0.10964959245473742"/>
          <c:w val="0.71105527638190957"/>
          <c:h val="0.59649378295377153"/>
        </c:manualLayout>
      </c:layout>
      <c:barChart>
        <c:barDir val="col"/>
        <c:grouping val="clustered"/>
        <c:varyColors val="0"/>
        <c:ser>
          <c:idx val="1"/>
          <c:order val="0"/>
          <c:tx>
            <c:strRef>
              <c:f>Graphs!$H$9</c:f>
              <c:strCache>
                <c:ptCount val="1"/>
                <c:pt idx="0">
                  <c:v>Итого портфель займов</c:v>
                </c:pt>
              </c:strCache>
            </c:strRef>
          </c:tx>
          <c:spPr>
            <a:solidFill>
              <a:srgbClr val="993366"/>
            </a:solidFill>
            <a:ln w="12700">
              <a:solidFill>
                <a:srgbClr val="000000"/>
              </a:solidFill>
              <a:prstDash val="solid"/>
            </a:ln>
          </c:spPr>
          <c:invertIfNegative val="0"/>
          <c:cat>
            <c:strRef>
              <c:f>Graphs!$I$8:$N$8</c:f>
              <c:strCache>
                <c:ptCount val="6"/>
                <c:pt idx="5">
                  <c:v>00.01.00</c:v>
                </c:pt>
              </c:strCache>
            </c:strRef>
          </c:cat>
          <c:val>
            <c:numRef>
              <c:f>Graphs!$I$9:$N$9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56564096"/>
        <c:axId val="114893184"/>
      </c:barChart>
      <c:lineChart>
        <c:grouping val="standard"/>
        <c:varyColors val="0"/>
        <c:ser>
          <c:idx val="0"/>
          <c:order val="1"/>
          <c:tx>
            <c:strRef>
              <c:f>Graphs!$H$10</c:f>
              <c:strCache>
                <c:ptCount val="1"/>
                <c:pt idx="0">
                  <c:v>Резерв под убытки по займам</c:v>
                </c:pt>
              </c:strCache>
            </c:strRef>
          </c:tx>
          <c:spPr>
            <a:ln w="12700">
              <a:solidFill>
                <a:srgbClr val="000080"/>
              </a:solidFill>
              <a:prstDash val="solid"/>
            </a:ln>
          </c:spPr>
          <c:marker>
            <c:symbol val="none"/>
          </c:marker>
          <c:cat>
            <c:strRef>
              <c:f>Graphs!$I$8:$N$8</c:f>
              <c:strCache>
                <c:ptCount val="6"/>
                <c:pt idx="5">
                  <c:v>00.01.00</c:v>
                </c:pt>
              </c:strCache>
            </c:strRef>
          </c:cat>
          <c:val>
            <c:numRef>
              <c:f>Graphs!$I$10:$N$10</c:f>
              <c:numCache>
                <c:formatCode>0%</c:formatCode>
                <c:ptCount val="6"/>
                <c:pt idx="0">
                  <c:v>0</c:v>
                </c:pt>
                <c:pt idx="1">
                  <c:v>0</c:v>
                </c:pt>
                <c:pt idx="2">
                  <c:v>0</c:v>
                </c:pt>
                <c:pt idx="3">
                  <c:v>0</c:v>
                </c:pt>
                <c:pt idx="4">
                  <c:v>0</c:v>
                </c:pt>
                <c:pt idx="5">
                  <c:v>0</c:v>
                </c:pt>
              </c:numCache>
            </c:numRef>
          </c:val>
          <c:smooth val="0"/>
        </c:ser>
        <c:ser>
          <c:idx val="2"/>
          <c:order val="2"/>
          <c:tx>
            <c:strRef>
              <c:f>Graphs!$H$11</c:f>
              <c:strCache>
                <c:ptCount val="1"/>
                <c:pt idx="0">
                  <c:v>Другие текущие активы и нач.проценты</c:v>
                </c:pt>
              </c:strCache>
            </c:strRef>
          </c:tx>
          <c:marker>
            <c:symbol val="none"/>
          </c:marker>
          <c:cat>
            <c:strRef>
              <c:f>Graphs!$I$8:$N$8</c:f>
              <c:strCache>
                <c:ptCount val="6"/>
                <c:pt idx="5">
                  <c:v>00.01.00</c:v>
                </c:pt>
              </c:strCache>
            </c:strRef>
          </c:cat>
          <c:val>
            <c:numRef>
              <c:f>Graphs!$I$11:$N$11</c:f>
              <c:numCache>
                <c:formatCode>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14894720"/>
        <c:axId val="114896256"/>
      </c:lineChart>
      <c:catAx>
        <c:axId val="156564096"/>
        <c:scaling>
          <c:orientation val="minMax"/>
        </c:scaling>
        <c:delete val="0"/>
        <c:axPos val="b"/>
        <c:numFmt formatCode="dd/mm/yy;@" sourceLinked="0"/>
        <c:majorTickMark val="cross"/>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ru-RU"/>
          </a:p>
        </c:txPr>
        <c:crossAx val="114893184"/>
        <c:crosses val="autoZero"/>
        <c:auto val="0"/>
        <c:lblAlgn val="ctr"/>
        <c:lblOffset val="100"/>
        <c:tickLblSkip val="1"/>
        <c:tickMarkSkip val="1"/>
        <c:noMultiLvlLbl val="0"/>
      </c:catAx>
      <c:valAx>
        <c:axId val="114893184"/>
        <c:scaling>
          <c:orientation val="minMax"/>
        </c:scaling>
        <c:delete val="0"/>
        <c:axPos val="l"/>
        <c:majorGridlines>
          <c:spPr>
            <a:ln w="3175">
              <a:solidFill>
                <a:srgbClr val="000000"/>
              </a:solidFill>
              <a:prstDash val="sysDash"/>
            </a:ln>
          </c:spPr>
        </c:majorGridlines>
        <c:numFmt formatCode="0%"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RU"/>
          </a:p>
        </c:txPr>
        <c:crossAx val="156564096"/>
        <c:crosses val="autoZero"/>
        <c:crossBetween val="between"/>
      </c:valAx>
      <c:catAx>
        <c:axId val="114894720"/>
        <c:scaling>
          <c:orientation val="minMax"/>
        </c:scaling>
        <c:delete val="1"/>
        <c:axPos val="b"/>
        <c:numFmt formatCode="dd/mm/yy;@" sourceLinked="1"/>
        <c:majorTickMark val="out"/>
        <c:minorTickMark val="none"/>
        <c:tickLblPos val="nextTo"/>
        <c:crossAx val="114896256"/>
        <c:crosses val="autoZero"/>
        <c:auto val="0"/>
        <c:lblAlgn val="ctr"/>
        <c:lblOffset val="100"/>
        <c:noMultiLvlLbl val="0"/>
      </c:catAx>
      <c:valAx>
        <c:axId val="114896256"/>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RU"/>
          </a:p>
        </c:txPr>
        <c:crossAx val="114894720"/>
        <c:crosses val="max"/>
        <c:crossBetween val="between"/>
      </c:valAx>
      <c:spPr>
        <a:solidFill>
          <a:srgbClr val="FFFFFF"/>
        </a:solidFill>
        <a:ln w="12700">
          <a:solidFill>
            <a:srgbClr val="808080"/>
          </a:solidFill>
          <a:prstDash val="solid"/>
        </a:ln>
      </c:spPr>
    </c:plotArea>
    <c:legend>
      <c:legendPos val="b"/>
      <c:layout>
        <c:manualLayout>
          <c:xMode val="edge"/>
          <c:yMode val="edge"/>
          <c:x val="0.10301508380248538"/>
          <c:y val="0.83772301741634514"/>
          <c:w val="0.74903312761580476"/>
          <c:h val="0.1505809344682117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Graphs!$H$25</c:f>
              <c:strCache>
                <c:ptCount val="1"/>
                <c:pt idx="0">
                  <c:v>Собственный капитал</c:v>
                </c:pt>
              </c:strCache>
            </c:strRef>
          </c:tx>
          <c:invertIfNegative val="0"/>
          <c:dLbls>
            <c:txPr>
              <a:bodyPr/>
              <a:lstStyle/>
              <a:p>
                <a:pPr>
                  <a:defRPr sz="1000" b="0" i="0" u="none" strike="noStrike" baseline="0">
                    <a:solidFill>
                      <a:srgbClr val="000000"/>
                    </a:solidFill>
                    <a:latin typeface="Calibri"/>
                    <a:ea typeface="Calibri"/>
                    <a:cs typeface="Calibri"/>
                  </a:defRPr>
                </a:pPr>
                <a:endParaRPr lang="ru-RU"/>
              </a:p>
            </c:txPr>
            <c:dLblPos val="ctr"/>
            <c:showLegendKey val="0"/>
            <c:showVal val="1"/>
            <c:showCatName val="0"/>
            <c:showSerName val="0"/>
            <c:showPercent val="0"/>
            <c:showBubbleSize val="0"/>
            <c:showLeaderLines val="0"/>
          </c:dLbls>
          <c:cat>
            <c:strRef>
              <c:f>Graphs!$I$4:$N$4</c:f>
              <c:strCache>
                <c:ptCount val="6"/>
                <c:pt idx="5">
                  <c:v>0</c:v>
                </c:pt>
              </c:strCache>
            </c:strRef>
          </c:cat>
          <c:val>
            <c:numRef>
              <c:f>Graphs!$I$25:$N$25</c:f>
              <c:numCache>
                <c:formatCode>0%</c:formatCode>
                <c:ptCount val="6"/>
                <c:pt idx="0">
                  <c:v>0</c:v>
                </c:pt>
                <c:pt idx="1">
                  <c:v>0</c:v>
                </c:pt>
                <c:pt idx="2">
                  <c:v>0</c:v>
                </c:pt>
                <c:pt idx="3">
                  <c:v>0</c:v>
                </c:pt>
                <c:pt idx="4">
                  <c:v>0</c:v>
                </c:pt>
                <c:pt idx="5">
                  <c:v>0</c:v>
                </c:pt>
              </c:numCache>
            </c:numRef>
          </c:val>
        </c:ser>
        <c:ser>
          <c:idx val="1"/>
          <c:order val="1"/>
          <c:tx>
            <c:strRef>
              <c:f>Graphs!$H$26</c:f>
              <c:strCache>
                <c:ptCount val="1"/>
                <c:pt idx="0">
                  <c:v>Привлеченные кредиты</c:v>
                </c:pt>
              </c:strCache>
            </c:strRef>
          </c:tx>
          <c:invertIfNegative val="0"/>
          <c:dLbls>
            <c:txPr>
              <a:bodyPr/>
              <a:lstStyle/>
              <a:p>
                <a:pPr>
                  <a:defRPr sz="1000" b="0" i="0" u="none" strike="noStrike" baseline="0">
                    <a:solidFill>
                      <a:srgbClr val="000000"/>
                    </a:solidFill>
                    <a:latin typeface="Calibri"/>
                    <a:ea typeface="Calibri"/>
                    <a:cs typeface="Calibri"/>
                  </a:defRPr>
                </a:pPr>
                <a:endParaRPr lang="ru-RU"/>
              </a:p>
            </c:txPr>
            <c:dLblPos val="ctr"/>
            <c:showLegendKey val="0"/>
            <c:showVal val="1"/>
            <c:showCatName val="0"/>
            <c:showSerName val="0"/>
            <c:showPercent val="0"/>
            <c:showBubbleSize val="0"/>
            <c:showLeaderLines val="0"/>
          </c:dLbls>
          <c:cat>
            <c:strRef>
              <c:f>Graphs!$I$4:$N$4</c:f>
              <c:strCache>
                <c:ptCount val="6"/>
                <c:pt idx="5">
                  <c:v>0</c:v>
                </c:pt>
              </c:strCache>
            </c:strRef>
          </c:cat>
          <c:val>
            <c:numRef>
              <c:f>Graphs!$I$26:$N$26</c:f>
              <c:numCache>
                <c:formatCode>0%</c:formatCode>
                <c:ptCount val="6"/>
                <c:pt idx="0">
                  <c:v>0</c:v>
                </c:pt>
                <c:pt idx="1">
                  <c:v>0</c:v>
                </c:pt>
                <c:pt idx="2">
                  <c:v>0</c:v>
                </c:pt>
                <c:pt idx="3">
                  <c:v>0</c:v>
                </c:pt>
                <c:pt idx="4">
                  <c:v>0</c:v>
                </c:pt>
                <c:pt idx="5">
                  <c:v>0</c:v>
                </c:pt>
              </c:numCache>
            </c:numRef>
          </c:val>
        </c:ser>
        <c:ser>
          <c:idx val="2"/>
          <c:order val="2"/>
          <c:tx>
            <c:strRef>
              <c:f>Graphs!$H$27</c:f>
              <c:strCache>
                <c:ptCount val="1"/>
                <c:pt idx="0">
                  <c:v>Привлеченные депозиты</c:v>
                </c:pt>
              </c:strCache>
            </c:strRef>
          </c:tx>
          <c:invertIfNegative val="0"/>
          <c:dLbls>
            <c:txPr>
              <a:bodyPr/>
              <a:lstStyle/>
              <a:p>
                <a:pPr>
                  <a:defRPr sz="1000" b="0" i="0" u="none" strike="noStrike" baseline="0">
                    <a:solidFill>
                      <a:srgbClr val="000000"/>
                    </a:solidFill>
                    <a:latin typeface="Calibri"/>
                    <a:ea typeface="Calibri"/>
                    <a:cs typeface="Calibri"/>
                  </a:defRPr>
                </a:pPr>
                <a:endParaRPr lang="ru-RU"/>
              </a:p>
            </c:txPr>
            <c:dLblPos val="ctr"/>
            <c:showLegendKey val="0"/>
            <c:showVal val="1"/>
            <c:showCatName val="0"/>
            <c:showSerName val="0"/>
            <c:showPercent val="0"/>
            <c:showBubbleSize val="0"/>
            <c:showLeaderLines val="0"/>
          </c:dLbls>
          <c:cat>
            <c:strRef>
              <c:f>Graphs!$I$4:$N$4</c:f>
              <c:strCache>
                <c:ptCount val="6"/>
                <c:pt idx="5">
                  <c:v>0</c:v>
                </c:pt>
              </c:strCache>
            </c:strRef>
          </c:cat>
          <c:val>
            <c:numRef>
              <c:f>Graphs!$I$27:$N$27</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overlap val="100"/>
        <c:axId val="114923392"/>
        <c:axId val="114924928"/>
      </c:barChart>
      <c:catAx>
        <c:axId val="114923392"/>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14924928"/>
        <c:crosses val="autoZero"/>
        <c:auto val="1"/>
        <c:lblAlgn val="ctr"/>
        <c:lblOffset val="100"/>
        <c:tickLblSkip val="1"/>
        <c:tickMarkSkip val="1"/>
        <c:noMultiLvlLbl val="0"/>
      </c:catAx>
      <c:valAx>
        <c:axId val="11492492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ru-RU"/>
          </a:p>
        </c:txPr>
        <c:crossAx val="114923392"/>
        <c:crosses val="autoZero"/>
        <c:crossBetween val="between"/>
      </c:valAx>
    </c:plotArea>
    <c:legend>
      <c:legendPos val="b"/>
      <c:overlay val="0"/>
      <c:txPr>
        <a:bodyPr/>
        <a:lstStyle/>
        <a:p>
          <a:pPr>
            <a:defRPr sz="67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Graphs!$H$43</c:f>
              <c:strCache>
                <c:ptCount val="1"/>
                <c:pt idx="0">
                  <c:v>Рост общих активов</c:v>
                </c:pt>
              </c:strCache>
            </c:strRef>
          </c:tx>
          <c:marker>
            <c:symbol val="none"/>
          </c:marker>
          <c:cat>
            <c:strRef>
              <c:f>Graphs!$I$4:$N$4</c:f>
              <c:strCache>
                <c:ptCount val="6"/>
                <c:pt idx="5">
                  <c:v>0</c:v>
                </c:pt>
              </c:strCache>
            </c:strRef>
          </c:cat>
          <c:val>
            <c:numRef>
              <c:f>Graphs!$I$43:$N$43</c:f>
              <c:numCache>
                <c:formatCode>0%</c:formatCode>
                <c:ptCount val="6"/>
                <c:pt idx="1">
                  <c:v>0</c:v>
                </c:pt>
                <c:pt idx="2">
                  <c:v>0</c:v>
                </c:pt>
                <c:pt idx="3">
                  <c:v>0</c:v>
                </c:pt>
                <c:pt idx="4">
                  <c:v>0</c:v>
                </c:pt>
                <c:pt idx="5">
                  <c:v>0</c:v>
                </c:pt>
              </c:numCache>
            </c:numRef>
          </c:val>
          <c:smooth val="0"/>
        </c:ser>
        <c:ser>
          <c:idx val="1"/>
          <c:order val="1"/>
          <c:tx>
            <c:strRef>
              <c:f>Graphs!$H$44</c:f>
              <c:strCache>
                <c:ptCount val="1"/>
                <c:pt idx="0">
                  <c:v>Рост кредитного портфеля </c:v>
                </c:pt>
              </c:strCache>
            </c:strRef>
          </c:tx>
          <c:marker>
            <c:symbol val="none"/>
          </c:marker>
          <c:cat>
            <c:strRef>
              <c:f>Graphs!$I$4:$N$4</c:f>
              <c:strCache>
                <c:ptCount val="6"/>
                <c:pt idx="5">
                  <c:v>0</c:v>
                </c:pt>
              </c:strCache>
            </c:strRef>
          </c:cat>
          <c:val>
            <c:numRef>
              <c:f>Graphs!$I$44:$N$44</c:f>
              <c:numCache>
                <c:formatCode>0%</c:formatCode>
                <c:ptCount val="6"/>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14995200"/>
        <c:axId val="114996736"/>
      </c:lineChart>
      <c:catAx>
        <c:axId val="114995200"/>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14996736"/>
        <c:crosses val="autoZero"/>
        <c:auto val="1"/>
        <c:lblAlgn val="ctr"/>
        <c:lblOffset val="100"/>
        <c:noMultiLvlLbl val="0"/>
      </c:catAx>
      <c:valAx>
        <c:axId val="11499673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14995200"/>
        <c:crosses val="autoZero"/>
        <c:crossBetween val="between"/>
      </c:valAx>
    </c:plotArea>
    <c:legend>
      <c:legendPos val="b"/>
      <c:overlay val="0"/>
      <c:txPr>
        <a:bodyPr/>
        <a:lstStyle/>
        <a:p>
          <a:pPr>
            <a:defRPr sz="75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Graphs!$H$62</c:f>
              <c:strCache>
                <c:ptCount val="1"/>
                <c:pt idx="0">
                  <c:v>Рост финансовых доходов </c:v>
                </c:pt>
              </c:strCache>
            </c:strRef>
          </c:tx>
          <c:marker>
            <c:symbol val="none"/>
          </c:marker>
          <c:cat>
            <c:strRef>
              <c:f>Graphs!$I$4:$N$4</c:f>
              <c:strCache>
                <c:ptCount val="6"/>
                <c:pt idx="5">
                  <c:v>0</c:v>
                </c:pt>
              </c:strCache>
            </c:strRef>
          </c:cat>
          <c:val>
            <c:numRef>
              <c:f>Graphs!$I$62:$N$62</c:f>
              <c:numCache>
                <c:formatCode>0%</c:formatCode>
                <c:ptCount val="6"/>
                <c:pt idx="1">
                  <c:v>0</c:v>
                </c:pt>
                <c:pt idx="2">
                  <c:v>0</c:v>
                </c:pt>
                <c:pt idx="3">
                  <c:v>0</c:v>
                </c:pt>
                <c:pt idx="4">
                  <c:v>0</c:v>
                </c:pt>
                <c:pt idx="5">
                  <c:v>0</c:v>
                </c:pt>
              </c:numCache>
            </c:numRef>
          </c:val>
          <c:smooth val="0"/>
        </c:ser>
        <c:ser>
          <c:idx val="1"/>
          <c:order val="1"/>
          <c:tx>
            <c:strRef>
              <c:f>Graphs!$H$63</c:f>
              <c:strCache>
                <c:ptCount val="1"/>
                <c:pt idx="0">
                  <c:v>Рост финансовых расходов</c:v>
                </c:pt>
              </c:strCache>
            </c:strRef>
          </c:tx>
          <c:marker>
            <c:symbol val="none"/>
          </c:marker>
          <c:cat>
            <c:strRef>
              <c:f>Graphs!$I$4:$N$4</c:f>
              <c:strCache>
                <c:ptCount val="6"/>
                <c:pt idx="5">
                  <c:v>0</c:v>
                </c:pt>
              </c:strCache>
            </c:strRef>
          </c:cat>
          <c:val>
            <c:numRef>
              <c:f>Graphs!$I$63:$N$63</c:f>
              <c:numCache>
                <c:formatCode>0%</c:formatCode>
                <c:ptCount val="6"/>
                <c:pt idx="1">
                  <c:v>0</c:v>
                </c:pt>
                <c:pt idx="2">
                  <c:v>0</c:v>
                </c:pt>
                <c:pt idx="3">
                  <c:v>0</c:v>
                </c:pt>
                <c:pt idx="4">
                  <c:v>0</c:v>
                </c:pt>
                <c:pt idx="5">
                  <c:v>0</c:v>
                </c:pt>
              </c:numCache>
            </c:numRef>
          </c:val>
          <c:smooth val="0"/>
        </c:ser>
        <c:ser>
          <c:idx val="2"/>
          <c:order val="2"/>
          <c:tx>
            <c:strRef>
              <c:f>Graphs!$H$64</c:f>
              <c:strCache>
                <c:ptCount val="1"/>
                <c:pt idx="0">
                  <c:v>Рост операционных расходов</c:v>
                </c:pt>
              </c:strCache>
            </c:strRef>
          </c:tx>
          <c:marker>
            <c:symbol val="none"/>
          </c:marker>
          <c:cat>
            <c:strRef>
              <c:f>Graphs!$I$4:$N$4</c:f>
              <c:strCache>
                <c:ptCount val="6"/>
                <c:pt idx="5">
                  <c:v>0</c:v>
                </c:pt>
              </c:strCache>
            </c:strRef>
          </c:cat>
          <c:val>
            <c:numRef>
              <c:f>Graphs!$I$64:$N$64</c:f>
              <c:numCache>
                <c:formatCode>0%</c:formatCode>
                <c:ptCount val="6"/>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56568192"/>
        <c:axId val="156578176"/>
      </c:lineChart>
      <c:catAx>
        <c:axId val="156568192"/>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6578176"/>
        <c:crosses val="autoZero"/>
        <c:auto val="1"/>
        <c:lblAlgn val="ctr"/>
        <c:lblOffset val="100"/>
        <c:noMultiLvlLbl val="0"/>
      </c:catAx>
      <c:valAx>
        <c:axId val="15657817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6568192"/>
        <c:crosses val="autoZero"/>
        <c:crossBetween val="between"/>
      </c:valAx>
    </c:plotArea>
    <c:legend>
      <c:legendPos val="b"/>
      <c:overlay val="0"/>
      <c:txPr>
        <a:bodyPr/>
        <a:lstStyle/>
        <a:p>
          <a:pPr>
            <a:defRPr sz="75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Graphs!$H$80</c:f>
              <c:strCache>
                <c:ptCount val="1"/>
                <c:pt idx="0">
                  <c:v>Доходность портфеля</c:v>
                </c:pt>
              </c:strCache>
            </c:strRef>
          </c:tx>
          <c:invertIfNegative val="0"/>
          <c:cat>
            <c:strRef>
              <c:f>Graphs!$I$4:$N$4</c:f>
              <c:strCache>
                <c:ptCount val="6"/>
                <c:pt idx="5">
                  <c:v>0</c:v>
                </c:pt>
              </c:strCache>
            </c:strRef>
          </c:cat>
          <c:val>
            <c:numRef>
              <c:f>Graphs!$I$80:$N$80</c:f>
              <c:numCache>
                <c:formatCode>0%</c:formatCode>
                <c:ptCount val="6"/>
                <c:pt idx="0">
                  <c:v>0</c:v>
                </c:pt>
                <c:pt idx="1">
                  <c:v>0</c:v>
                </c:pt>
                <c:pt idx="2">
                  <c:v>0</c:v>
                </c:pt>
                <c:pt idx="3">
                  <c:v>0</c:v>
                </c:pt>
                <c:pt idx="4">
                  <c:v>0</c:v>
                </c:pt>
                <c:pt idx="5">
                  <c:v>0</c:v>
                </c:pt>
              </c:numCache>
            </c:numRef>
          </c:val>
        </c:ser>
        <c:ser>
          <c:idx val="1"/>
          <c:order val="1"/>
          <c:tx>
            <c:strRef>
              <c:f>Graphs!$H$81</c:f>
              <c:strCache>
                <c:ptCount val="1"/>
                <c:pt idx="0">
                  <c:v>Стоимость средств</c:v>
                </c:pt>
              </c:strCache>
            </c:strRef>
          </c:tx>
          <c:invertIfNegative val="0"/>
          <c:cat>
            <c:strRef>
              <c:f>Graphs!$I$4:$N$4</c:f>
              <c:strCache>
                <c:ptCount val="6"/>
                <c:pt idx="5">
                  <c:v>0</c:v>
                </c:pt>
              </c:strCache>
            </c:strRef>
          </c:cat>
          <c:val>
            <c:numRef>
              <c:f>Graphs!$I$81:$N$81</c:f>
              <c:numCache>
                <c:formatCode>0%</c:formatCode>
                <c:ptCount val="6"/>
                <c:pt idx="0">
                  <c:v>0</c:v>
                </c:pt>
                <c:pt idx="1">
                  <c:v>0</c:v>
                </c:pt>
                <c:pt idx="2">
                  <c:v>0</c:v>
                </c:pt>
                <c:pt idx="3">
                  <c:v>0</c:v>
                </c:pt>
                <c:pt idx="4">
                  <c:v>0</c:v>
                </c:pt>
                <c:pt idx="5">
                  <c:v>0</c:v>
                </c:pt>
              </c:numCache>
            </c:numRef>
          </c:val>
        </c:ser>
        <c:ser>
          <c:idx val="2"/>
          <c:order val="2"/>
          <c:tx>
            <c:strRef>
              <c:f>Graphs!$H$82</c:f>
              <c:strCache>
                <c:ptCount val="1"/>
                <c:pt idx="0">
                  <c:v>Коэфф-нт опер.расходов</c:v>
                </c:pt>
              </c:strCache>
            </c:strRef>
          </c:tx>
          <c:invertIfNegative val="0"/>
          <c:cat>
            <c:strRef>
              <c:f>Graphs!$I$4:$N$4</c:f>
              <c:strCache>
                <c:ptCount val="6"/>
                <c:pt idx="5">
                  <c:v>0</c:v>
                </c:pt>
              </c:strCache>
            </c:strRef>
          </c:cat>
          <c:val>
            <c:numRef>
              <c:f>Graphs!$I$82:$N$82</c:f>
              <c:numCache>
                <c:formatCode>0%</c:formatCode>
                <c:ptCount val="6"/>
                <c:pt idx="0">
                  <c:v>0</c:v>
                </c:pt>
                <c:pt idx="1">
                  <c:v>0</c:v>
                </c:pt>
                <c:pt idx="2">
                  <c:v>0</c:v>
                </c:pt>
                <c:pt idx="3">
                  <c:v>0</c:v>
                </c:pt>
                <c:pt idx="4">
                  <c:v>0</c:v>
                </c:pt>
                <c:pt idx="5">
                  <c:v>0</c:v>
                </c:pt>
              </c:numCache>
            </c:numRef>
          </c:val>
        </c:ser>
        <c:ser>
          <c:idx val="3"/>
          <c:order val="3"/>
          <c:tx>
            <c:strRef>
              <c:f>Graphs!$H$83</c:f>
              <c:strCache>
                <c:ptCount val="1"/>
                <c:pt idx="0">
                  <c:v>Расходы по созданию резервов</c:v>
                </c:pt>
              </c:strCache>
            </c:strRef>
          </c:tx>
          <c:invertIfNegative val="0"/>
          <c:cat>
            <c:strRef>
              <c:f>Graphs!$I$4:$N$4</c:f>
              <c:strCache>
                <c:ptCount val="6"/>
                <c:pt idx="5">
                  <c:v>0</c:v>
                </c:pt>
              </c:strCache>
            </c:strRef>
          </c:cat>
          <c:val>
            <c:numRef>
              <c:f>Graphs!$I$83:$N$83</c:f>
              <c:numCache>
                <c:formatCode>0%</c:formatCode>
                <c:ptCount val="6"/>
                <c:pt idx="0">
                  <c:v>0</c:v>
                </c:pt>
                <c:pt idx="1">
                  <c:v>0</c:v>
                </c:pt>
                <c:pt idx="2">
                  <c:v>0</c:v>
                </c:pt>
                <c:pt idx="3">
                  <c:v>0</c:v>
                </c:pt>
                <c:pt idx="4">
                  <c:v>0</c:v>
                </c:pt>
                <c:pt idx="5">
                  <c:v>0</c:v>
                </c:pt>
              </c:numCache>
            </c:numRef>
          </c:val>
        </c:ser>
        <c:ser>
          <c:idx val="4"/>
          <c:order val="4"/>
          <c:tx>
            <c:strRef>
              <c:f>Graphs!$H$84</c:f>
              <c:strCache>
                <c:ptCount val="1"/>
                <c:pt idx="0">
                  <c:v>Чистая операцонная маржа</c:v>
                </c:pt>
              </c:strCache>
            </c:strRef>
          </c:tx>
          <c:invertIfNegative val="0"/>
          <c:cat>
            <c:strRef>
              <c:f>Graphs!$I$4:$N$4</c:f>
              <c:strCache>
                <c:ptCount val="6"/>
                <c:pt idx="5">
                  <c:v>0</c:v>
                </c:pt>
              </c:strCache>
            </c:strRef>
          </c:cat>
          <c:val>
            <c:numRef>
              <c:f>Graphs!$I$84:$N$84</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overlap val="100"/>
        <c:axId val="156625920"/>
        <c:axId val="157094656"/>
      </c:barChart>
      <c:catAx>
        <c:axId val="156625920"/>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7094656"/>
        <c:crosses val="autoZero"/>
        <c:auto val="1"/>
        <c:lblAlgn val="ctr"/>
        <c:lblOffset val="100"/>
        <c:noMultiLvlLbl val="0"/>
      </c:catAx>
      <c:valAx>
        <c:axId val="15709465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6625920"/>
        <c:crosses val="autoZero"/>
        <c:crossBetween val="between"/>
      </c:valAx>
    </c:plotArea>
    <c:legend>
      <c:legendPos val="b"/>
      <c:overlay val="0"/>
      <c:txPr>
        <a:bodyPr/>
        <a:lstStyle/>
        <a:p>
          <a:pPr>
            <a:defRPr sz="67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Graphs!$H$99</c:f>
              <c:strCache>
                <c:ptCount val="1"/>
                <c:pt idx="0">
                  <c:v>Операционная Самоокупаемость </c:v>
                </c:pt>
              </c:strCache>
            </c:strRef>
          </c:tx>
          <c:invertIfNegative val="0"/>
          <c:val>
            <c:numRef>
              <c:f>Graphs!$I$99:$N$99</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57120768"/>
        <c:axId val="157134848"/>
      </c:barChart>
      <c:lineChart>
        <c:grouping val="standard"/>
        <c:varyColors val="0"/>
        <c:ser>
          <c:idx val="0"/>
          <c:order val="0"/>
          <c:tx>
            <c:strRef>
              <c:f>Graphs!$H$100</c:f>
              <c:strCache>
                <c:ptCount val="1"/>
                <c:pt idx="0">
                  <c:v>Доходность капитала (ROE)</c:v>
                </c:pt>
              </c:strCache>
            </c:strRef>
          </c:tx>
          <c:dLbls>
            <c:txPr>
              <a:bodyPr/>
              <a:lstStyle/>
              <a:p>
                <a:pPr>
                  <a:defRPr sz="1000" b="0" i="0" u="none" strike="noStrike" baseline="0">
                    <a:solidFill>
                      <a:srgbClr val="000000"/>
                    </a:solidFill>
                    <a:latin typeface="Calibri"/>
                    <a:ea typeface="Calibri"/>
                    <a:cs typeface="Calibri"/>
                  </a:defRPr>
                </a:pPr>
                <a:endParaRPr lang="ru-RU"/>
              </a:p>
            </c:txPr>
            <c:dLblPos val="t"/>
            <c:showLegendKey val="0"/>
            <c:showVal val="1"/>
            <c:showCatName val="0"/>
            <c:showSerName val="0"/>
            <c:showPercent val="0"/>
            <c:showBubbleSize val="0"/>
            <c:showLeaderLines val="0"/>
          </c:dLbls>
          <c:cat>
            <c:strRef>
              <c:f>Graphs!$I$4:$N$4</c:f>
              <c:strCache>
                <c:ptCount val="6"/>
                <c:pt idx="5">
                  <c:v>0</c:v>
                </c:pt>
              </c:strCache>
            </c:strRef>
          </c:cat>
          <c:val>
            <c:numRef>
              <c:f>Graphs!$I$100:$N$100</c:f>
              <c:numCache>
                <c:formatCode>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57120768"/>
        <c:axId val="157134848"/>
      </c:lineChart>
      <c:catAx>
        <c:axId val="157120768"/>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7134848"/>
        <c:crosses val="autoZero"/>
        <c:auto val="1"/>
        <c:lblAlgn val="ctr"/>
        <c:lblOffset val="100"/>
        <c:noMultiLvlLbl val="0"/>
      </c:catAx>
      <c:valAx>
        <c:axId val="157134848"/>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120768"/>
        <c:crosses val="autoZero"/>
        <c:crossBetween val="between"/>
      </c:valAx>
    </c:plotArea>
    <c:legend>
      <c:legendPos val="b"/>
      <c:overlay val="0"/>
      <c:txPr>
        <a:bodyPr/>
        <a:lstStyle/>
        <a:p>
          <a:pPr>
            <a:defRPr sz="67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Graphs!$H$119</c:f>
              <c:strCache>
                <c:ptCount val="1"/>
                <c:pt idx="0">
                  <c:v>Общий кредитный портфель (млн.)</c:v>
                </c:pt>
              </c:strCache>
            </c:strRef>
          </c:tx>
          <c:invertIfNegative val="0"/>
          <c:cat>
            <c:strRef>
              <c:f>Graphs!$I$4:$N$4</c:f>
              <c:strCache>
                <c:ptCount val="6"/>
                <c:pt idx="5">
                  <c:v>0</c:v>
                </c:pt>
              </c:strCache>
            </c:strRef>
          </c:cat>
          <c:val>
            <c:numRef>
              <c:f>Graphs!$I$119:$N$119</c:f>
              <c:numCache>
                <c:formatCode>_-* #,##0.0_р_._-;\-* #,##0.0_р_._-;_-* "-"??_р_._-;_-@_-</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57234688"/>
        <c:axId val="157236224"/>
      </c:barChart>
      <c:lineChart>
        <c:grouping val="standard"/>
        <c:varyColors val="0"/>
        <c:ser>
          <c:idx val="1"/>
          <c:order val="1"/>
          <c:tx>
            <c:strRef>
              <c:f>Graphs!$H$120</c:f>
              <c:strCache>
                <c:ptCount val="1"/>
                <c:pt idx="0">
                  <c:v>Кол-во заемщиков</c:v>
                </c:pt>
              </c:strCache>
            </c:strRef>
          </c:tx>
          <c:cat>
            <c:strRef>
              <c:f>Graphs!$I$4:$N$4</c:f>
              <c:strCache>
                <c:ptCount val="6"/>
                <c:pt idx="5">
                  <c:v>0</c:v>
                </c:pt>
              </c:strCache>
            </c:strRef>
          </c:cat>
          <c:val>
            <c:numRef>
              <c:f>Graphs!$I$120:$N$120</c:f>
              <c:numCache>
                <c:formatCode>_-* #,##0_р_._-;\-* #,##0_р_._-;_-* "-"??_р_._-;_-@_-</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57238016"/>
        <c:axId val="157239552"/>
      </c:lineChart>
      <c:catAx>
        <c:axId val="157234688"/>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7236224"/>
        <c:crosses val="autoZero"/>
        <c:auto val="1"/>
        <c:lblAlgn val="ctr"/>
        <c:lblOffset val="100"/>
        <c:noMultiLvlLbl val="0"/>
      </c:catAx>
      <c:valAx>
        <c:axId val="157236224"/>
        <c:scaling>
          <c:orientation val="minMax"/>
        </c:scaling>
        <c:delete val="0"/>
        <c:axPos val="l"/>
        <c:majorGridlines/>
        <c:numFmt formatCode="_-* #,##0.0_р_._-;\-* #,##0.0_р_._-;_-* &quot;-&quot;??_р_._-;_-@_-"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234688"/>
        <c:crosses val="autoZero"/>
        <c:crossBetween val="between"/>
      </c:valAx>
      <c:catAx>
        <c:axId val="157238016"/>
        <c:scaling>
          <c:orientation val="minMax"/>
        </c:scaling>
        <c:delete val="1"/>
        <c:axPos val="b"/>
        <c:numFmt formatCode="@" sourceLinked="1"/>
        <c:majorTickMark val="out"/>
        <c:minorTickMark val="none"/>
        <c:tickLblPos val="nextTo"/>
        <c:crossAx val="157239552"/>
        <c:crosses val="autoZero"/>
        <c:auto val="1"/>
        <c:lblAlgn val="ctr"/>
        <c:lblOffset val="100"/>
        <c:noMultiLvlLbl val="0"/>
      </c:catAx>
      <c:valAx>
        <c:axId val="157239552"/>
        <c:scaling>
          <c:orientation val="minMax"/>
        </c:scaling>
        <c:delete val="0"/>
        <c:axPos val="r"/>
        <c:numFmt formatCode="_-* #,##0_р_._-;\-* #,##0_р_._-;_-* &quot;-&quot;??_р_._-;_-@_-"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238016"/>
        <c:crosses val="max"/>
        <c:crossBetween val="between"/>
      </c:valAx>
    </c:plotArea>
    <c:legend>
      <c:legendPos val="b"/>
      <c:overlay val="0"/>
      <c:txPr>
        <a:bodyPr/>
        <a:lstStyle/>
        <a:p>
          <a:pPr>
            <a:defRPr sz="75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strRef>
              <c:f>Graphs!$H$141</c:f>
              <c:strCache>
                <c:ptCount val="1"/>
                <c:pt idx="0">
                  <c:v>Коэффициент покрытия риска</c:v>
                </c:pt>
              </c:strCache>
            </c:strRef>
          </c:tx>
          <c:invertIfNegative val="0"/>
          <c:cat>
            <c:strRef>
              <c:f>Graphs!$I$4:$N$4</c:f>
              <c:strCache>
                <c:ptCount val="6"/>
                <c:pt idx="5">
                  <c:v>0</c:v>
                </c:pt>
              </c:strCache>
            </c:strRef>
          </c:cat>
          <c:val>
            <c:numRef>
              <c:f>Graphs!$I$141:$N$141</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157271552"/>
        <c:axId val="157273088"/>
      </c:barChart>
      <c:lineChart>
        <c:grouping val="standard"/>
        <c:varyColors val="0"/>
        <c:ser>
          <c:idx val="0"/>
          <c:order val="0"/>
          <c:tx>
            <c:strRef>
              <c:f>Graphs!$H$139</c:f>
              <c:strCache>
                <c:ptCount val="1"/>
                <c:pt idx="0">
                  <c:v>PAR&gt;30 дней+реструктур.кредиты</c:v>
                </c:pt>
              </c:strCache>
            </c:strRef>
          </c:tx>
          <c:dLbls>
            <c:txPr>
              <a:bodyPr/>
              <a:lstStyle/>
              <a:p>
                <a:pPr>
                  <a:defRPr sz="1000" b="0" i="0" u="none" strike="noStrike" baseline="0">
                    <a:solidFill>
                      <a:srgbClr val="000000"/>
                    </a:solidFill>
                    <a:latin typeface="Calibri"/>
                    <a:ea typeface="Calibri"/>
                    <a:cs typeface="Calibri"/>
                  </a:defRPr>
                </a:pPr>
                <a:endParaRPr lang="ru-RU"/>
              </a:p>
            </c:txPr>
            <c:dLblPos val="t"/>
            <c:showLegendKey val="0"/>
            <c:showVal val="1"/>
            <c:showCatName val="0"/>
            <c:showSerName val="0"/>
            <c:showPercent val="0"/>
            <c:showBubbleSize val="0"/>
            <c:showLeaderLines val="0"/>
          </c:dLbls>
          <c:cat>
            <c:strRef>
              <c:f>Graphs!$I$4:$N$4</c:f>
              <c:strCache>
                <c:ptCount val="6"/>
                <c:pt idx="5">
                  <c:v>0</c:v>
                </c:pt>
              </c:strCache>
            </c:strRef>
          </c:cat>
          <c:val>
            <c:numRef>
              <c:f>Graphs!$I$139:$N$139</c:f>
              <c:numCache>
                <c:formatCode>0.0%</c:formatCode>
                <c:ptCount val="6"/>
                <c:pt idx="0">
                  <c:v>0</c:v>
                </c:pt>
                <c:pt idx="1">
                  <c:v>0</c:v>
                </c:pt>
                <c:pt idx="2">
                  <c:v>0</c:v>
                </c:pt>
                <c:pt idx="3">
                  <c:v>0</c:v>
                </c:pt>
                <c:pt idx="4">
                  <c:v>0</c:v>
                </c:pt>
                <c:pt idx="5">
                  <c:v>0</c:v>
                </c:pt>
              </c:numCache>
            </c:numRef>
          </c:val>
          <c:smooth val="0"/>
        </c:ser>
        <c:ser>
          <c:idx val="1"/>
          <c:order val="1"/>
          <c:tx>
            <c:strRef>
              <c:f>Graphs!$H$140</c:f>
              <c:strCache>
                <c:ptCount val="1"/>
                <c:pt idx="0">
                  <c:v>РППУ от общего кред.портфеля</c:v>
                </c:pt>
              </c:strCache>
            </c:strRef>
          </c:tx>
          <c:marker>
            <c:symbol val="none"/>
          </c:marker>
          <c:dLbls>
            <c:txPr>
              <a:bodyPr/>
              <a:lstStyle/>
              <a:p>
                <a:pPr>
                  <a:defRPr sz="1000" b="0" i="0" u="none" strike="noStrike" baseline="0">
                    <a:solidFill>
                      <a:srgbClr val="000000"/>
                    </a:solidFill>
                    <a:latin typeface="Calibri"/>
                    <a:ea typeface="Calibri"/>
                    <a:cs typeface="Calibri"/>
                  </a:defRPr>
                </a:pPr>
                <a:endParaRPr lang="ru-RU"/>
              </a:p>
            </c:txPr>
            <c:dLblPos val="t"/>
            <c:showLegendKey val="0"/>
            <c:showVal val="1"/>
            <c:showCatName val="0"/>
            <c:showSerName val="0"/>
            <c:showPercent val="0"/>
            <c:showBubbleSize val="0"/>
            <c:showLeaderLines val="0"/>
          </c:dLbls>
          <c:cat>
            <c:strRef>
              <c:f>Graphs!$I$4:$N$4</c:f>
              <c:strCache>
                <c:ptCount val="6"/>
                <c:pt idx="5">
                  <c:v>0</c:v>
                </c:pt>
              </c:strCache>
            </c:strRef>
          </c:cat>
          <c:val>
            <c:numRef>
              <c:f>Graphs!$I$140:$N$140</c:f>
              <c:numCache>
                <c:formatCode>0.0%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57287168"/>
        <c:axId val="157288704"/>
      </c:lineChart>
      <c:catAx>
        <c:axId val="157271552"/>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7273088"/>
        <c:crosses val="autoZero"/>
        <c:auto val="1"/>
        <c:lblAlgn val="ctr"/>
        <c:lblOffset val="100"/>
        <c:noMultiLvlLbl val="0"/>
      </c:catAx>
      <c:valAx>
        <c:axId val="157273088"/>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271552"/>
        <c:crosses val="autoZero"/>
        <c:crossBetween val="between"/>
      </c:valAx>
      <c:catAx>
        <c:axId val="157287168"/>
        <c:scaling>
          <c:orientation val="minMax"/>
        </c:scaling>
        <c:delete val="1"/>
        <c:axPos val="b"/>
        <c:numFmt formatCode="@" sourceLinked="1"/>
        <c:majorTickMark val="out"/>
        <c:minorTickMark val="none"/>
        <c:tickLblPos val="nextTo"/>
        <c:crossAx val="157288704"/>
        <c:crosses val="autoZero"/>
        <c:auto val="1"/>
        <c:lblAlgn val="ctr"/>
        <c:lblOffset val="100"/>
        <c:noMultiLvlLbl val="0"/>
      </c:catAx>
      <c:valAx>
        <c:axId val="157288704"/>
        <c:scaling>
          <c:orientation val="minMax"/>
        </c:scaling>
        <c:delete val="0"/>
        <c:axPos val="r"/>
        <c:numFmt formatCode="0.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287168"/>
        <c:crosses val="max"/>
        <c:crossBetween val="between"/>
      </c:valAx>
    </c:plotArea>
    <c:legend>
      <c:legendPos val="b"/>
      <c:overlay val="0"/>
      <c:txPr>
        <a:bodyPr/>
        <a:lstStyle/>
        <a:p>
          <a:pPr>
            <a:defRPr sz="675" b="0" i="0" u="none" strike="noStrike" baseline="0">
              <a:solidFill>
                <a:srgbClr val="000000"/>
              </a:solidFill>
              <a:latin typeface="Calibri"/>
              <a:ea typeface="Calibri"/>
              <a:cs typeface="Calibri"/>
            </a:defRPr>
          </a:pPr>
          <a:endParaRPr lang="ru-RU"/>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0"/>
          <c:order val="0"/>
          <c:tx>
            <c:strRef>
              <c:f>Graphs!$H$159</c:f>
              <c:strCache>
                <c:ptCount val="1"/>
                <c:pt idx="0">
                  <c:v>1-ая наибольшая </c:v>
                </c:pt>
              </c:strCache>
            </c:strRef>
          </c:tx>
          <c:cat>
            <c:strRef>
              <c:f>Graphs!$I$4:$N$4</c:f>
              <c:strCache>
                <c:ptCount val="6"/>
                <c:pt idx="5">
                  <c:v>0</c:v>
                </c:pt>
              </c:strCache>
            </c:strRef>
          </c:cat>
          <c:val>
            <c:numRef>
              <c:f>Graphs!$I$159:$N$159</c:f>
              <c:numCache>
                <c:formatCode>0%</c:formatCode>
                <c:ptCount val="6"/>
                <c:pt idx="0">
                  <c:v>0</c:v>
                </c:pt>
                <c:pt idx="1">
                  <c:v>0</c:v>
                </c:pt>
                <c:pt idx="2">
                  <c:v>0</c:v>
                </c:pt>
                <c:pt idx="3">
                  <c:v>0</c:v>
                </c:pt>
                <c:pt idx="4">
                  <c:v>0</c:v>
                </c:pt>
                <c:pt idx="5">
                  <c:v>0</c:v>
                </c:pt>
              </c:numCache>
            </c:numRef>
          </c:val>
        </c:ser>
        <c:ser>
          <c:idx val="1"/>
          <c:order val="1"/>
          <c:tx>
            <c:strRef>
              <c:f>Graphs!$H$160</c:f>
              <c:strCache>
                <c:ptCount val="1"/>
                <c:pt idx="0">
                  <c:v>2-ая </c:v>
                </c:pt>
              </c:strCache>
            </c:strRef>
          </c:tx>
          <c:cat>
            <c:strRef>
              <c:f>Graphs!$I$4:$N$4</c:f>
              <c:strCache>
                <c:ptCount val="6"/>
                <c:pt idx="5">
                  <c:v>0</c:v>
                </c:pt>
              </c:strCache>
            </c:strRef>
          </c:cat>
          <c:val>
            <c:numRef>
              <c:f>Graphs!$I$160:$N$160</c:f>
              <c:numCache>
                <c:formatCode>0%</c:formatCode>
                <c:ptCount val="6"/>
                <c:pt idx="0">
                  <c:v>0</c:v>
                </c:pt>
                <c:pt idx="1">
                  <c:v>0</c:v>
                </c:pt>
                <c:pt idx="2">
                  <c:v>0</c:v>
                </c:pt>
                <c:pt idx="3">
                  <c:v>0</c:v>
                </c:pt>
                <c:pt idx="4">
                  <c:v>0</c:v>
                </c:pt>
                <c:pt idx="5">
                  <c:v>0</c:v>
                </c:pt>
              </c:numCache>
            </c:numRef>
          </c:val>
        </c:ser>
        <c:ser>
          <c:idx val="2"/>
          <c:order val="2"/>
          <c:tx>
            <c:strRef>
              <c:f>Graphs!$H$161</c:f>
              <c:strCache>
                <c:ptCount val="1"/>
                <c:pt idx="0">
                  <c:v>3-ая  </c:v>
                </c:pt>
              </c:strCache>
            </c:strRef>
          </c:tx>
          <c:cat>
            <c:strRef>
              <c:f>Graphs!$I$4:$N$4</c:f>
              <c:strCache>
                <c:ptCount val="6"/>
                <c:pt idx="5">
                  <c:v>0</c:v>
                </c:pt>
              </c:strCache>
            </c:strRef>
          </c:cat>
          <c:val>
            <c:numRef>
              <c:f>Graphs!$I$161:$N$161</c:f>
              <c:numCache>
                <c:formatCode>0%</c:formatCode>
                <c:ptCount val="6"/>
                <c:pt idx="0">
                  <c:v>0</c:v>
                </c:pt>
                <c:pt idx="1">
                  <c:v>0</c:v>
                </c:pt>
                <c:pt idx="2">
                  <c:v>0</c:v>
                </c:pt>
                <c:pt idx="3">
                  <c:v>0</c:v>
                </c:pt>
                <c:pt idx="4">
                  <c:v>0</c:v>
                </c:pt>
                <c:pt idx="5">
                  <c:v>0</c:v>
                </c:pt>
              </c:numCache>
            </c:numRef>
          </c:val>
        </c:ser>
        <c:ser>
          <c:idx val="3"/>
          <c:order val="3"/>
          <c:tx>
            <c:strRef>
              <c:f>Graphs!$H$162</c:f>
              <c:strCache>
                <c:ptCount val="1"/>
                <c:pt idx="0">
                  <c:v>4-ая  </c:v>
                </c:pt>
              </c:strCache>
            </c:strRef>
          </c:tx>
          <c:cat>
            <c:strRef>
              <c:f>Graphs!$I$4:$N$4</c:f>
              <c:strCache>
                <c:ptCount val="6"/>
                <c:pt idx="5">
                  <c:v>0</c:v>
                </c:pt>
              </c:strCache>
            </c:strRef>
          </c:cat>
          <c:val>
            <c:numRef>
              <c:f>Graphs!$I$162:$N$162</c:f>
              <c:numCache>
                <c:formatCode>0%</c:formatCode>
                <c:ptCount val="6"/>
                <c:pt idx="0">
                  <c:v>0</c:v>
                </c:pt>
                <c:pt idx="1">
                  <c:v>0</c:v>
                </c:pt>
                <c:pt idx="2">
                  <c:v>0</c:v>
                </c:pt>
                <c:pt idx="3">
                  <c:v>0</c:v>
                </c:pt>
                <c:pt idx="4">
                  <c:v>0</c:v>
                </c:pt>
                <c:pt idx="5">
                  <c:v>0</c:v>
                </c:pt>
              </c:numCache>
            </c:numRef>
          </c:val>
        </c:ser>
        <c:ser>
          <c:idx val="4"/>
          <c:order val="4"/>
          <c:tx>
            <c:strRef>
              <c:f>Graphs!$H$163</c:f>
              <c:strCache>
                <c:ptCount val="1"/>
                <c:pt idx="0">
                  <c:v>5-ая  </c:v>
                </c:pt>
              </c:strCache>
            </c:strRef>
          </c:tx>
          <c:cat>
            <c:strRef>
              <c:f>Graphs!$I$4:$N$4</c:f>
              <c:strCache>
                <c:ptCount val="6"/>
                <c:pt idx="5">
                  <c:v>0</c:v>
                </c:pt>
              </c:strCache>
            </c:strRef>
          </c:cat>
          <c:val>
            <c:numRef>
              <c:f>Graphs!$I$163:$N$163</c:f>
              <c:numCache>
                <c:formatCode>0%</c:formatCode>
                <c:ptCount val="6"/>
                <c:pt idx="0">
                  <c:v>0</c:v>
                </c:pt>
                <c:pt idx="1">
                  <c:v>0</c:v>
                </c:pt>
                <c:pt idx="2">
                  <c:v>0</c:v>
                </c:pt>
                <c:pt idx="3">
                  <c:v>0</c:v>
                </c:pt>
                <c:pt idx="4">
                  <c:v>0</c:v>
                </c:pt>
                <c:pt idx="5">
                  <c:v>0</c:v>
                </c:pt>
              </c:numCache>
            </c:numRef>
          </c:val>
        </c:ser>
        <c:ser>
          <c:idx val="5"/>
          <c:order val="5"/>
          <c:tx>
            <c:strRef>
              <c:f>Graphs!$H$164</c:f>
              <c:strCache>
                <c:ptCount val="1"/>
                <c:pt idx="0">
                  <c:v>6-ая  </c:v>
                </c:pt>
              </c:strCache>
            </c:strRef>
          </c:tx>
          <c:cat>
            <c:strRef>
              <c:f>Graphs!$I$4:$N$4</c:f>
              <c:strCache>
                <c:ptCount val="6"/>
                <c:pt idx="5">
                  <c:v>0</c:v>
                </c:pt>
              </c:strCache>
            </c:strRef>
          </c:cat>
          <c:val>
            <c:numRef>
              <c:f>Graphs!$I$164:$N$164</c:f>
              <c:numCache>
                <c:formatCode>0%</c:formatCode>
                <c:ptCount val="6"/>
                <c:pt idx="0">
                  <c:v>0</c:v>
                </c:pt>
                <c:pt idx="1">
                  <c:v>0</c:v>
                </c:pt>
                <c:pt idx="2">
                  <c:v>0</c:v>
                </c:pt>
                <c:pt idx="3">
                  <c:v>0</c:v>
                </c:pt>
                <c:pt idx="4">
                  <c:v>0</c:v>
                </c:pt>
                <c:pt idx="5">
                  <c:v>0</c:v>
                </c:pt>
              </c:numCache>
            </c:numRef>
          </c:val>
        </c:ser>
        <c:ser>
          <c:idx val="6"/>
          <c:order val="6"/>
          <c:tx>
            <c:strRef>
              <c:f>Graphs!$H$165</c:f>
              <c:strCache>
                <c:ptCount val="1"/>
                <c:pt idx="0">
                  <c:v>7-ая  </c:v>
                </c:pt>
              </c:strCache>
            </c:strRef>
          </c:tx>
          <c:cat>
            <c:strRef>
              <c:f>Graphs!$I$4:$N$4</c:f>
              <c:strCache>
                <c:ptCount val="6"/>
                <c:pt idx="5">
                  <c:v>0</c:v>
                </c:pt>
              </c:strCache>
            </c:strRef>
          </c:cat>
          <c:val>
            <c:numRef>
              <c:f>Graphs!$I$165:$N$165</c:f>
              <c:numCache>
                <c:formatCode>0%</c:formatCode>
                <c:ptCount val="6"/>
                <c:pt idx="0">
                  <c:v>0</c:v>
                </c:pt>
                <c:pt idx="1">
                  <c:v>0</c:v>
                </c:pt>
                <c:pt idx="2">
                  <c:v>0</c:v>
                </c:pt>
                <c:pt idx="3">
                  <c:v>0</c:v>
                </c:pt>
                <c:pt idx="4">
                  <c:v>0</c:v>
                </c:pt>
                <c:pt idx="5">
                  <c:v>0</c:v>
                </c:pt>
              </c:numCache>
            </c:numRef>
          </c:val>
        </c:ser>
        <c:ser>
          <c:idx val="7"/>
          <c:order val="7"/>
          <c:tx>
            <c:strRef>
              <c:f>Graphs!$H$166</c:f>
              <c:strCache>
                <c:ptCount val="1"/>
                <c:pt idx="0">
                  <c:v>8-ая  </c:v>
                </c:pt>
              </c:strCache>
            </c:strRef>
          </c:tx>
          <c:cat>
            <c:strRef>
              <c:f>Graphs!$I$4:$N$4</c:f>
              <c:strCache>
                <c:ptCount val="6"/>
                <c:pt idx="5">
                  <c:v>0</c:v>
                </c:pt>
              </c:strCache>
            </c:strRef>
          </c:cat>
          <c:val>
            <c:numRef>
              <c:f>Graphs!$I$166:$N$166</c:f>
              <c:numCache>
                <c:formatCode>0%</c:formatCode>
                <c:ptCount val="6"/>
                <c:pt idx="0">
                  <c:v>0</c:v>
                </c:pt>
                <c:pt idx="1">
                  <c:v>0</c:v>
                </c:pt>
                <c:pt idx="2">
                  <c:v>0</c:v>
                </c:pt>
                <c:pt idx="3">
                  <c:v>0</c:v>
                </c:pt>
                <c:pt idx="4">
                  <c:v>0</c:v>
                </c:pt>
                <c:pt idx="5">
                  <c:v>0</c:v>
                </c:pt>
              </c:numCache>
            </c:numRef>
          </c:val>
        </c:ser>
        <c:ser>
          <c:idx val="8"/>
          <c:order val="8"/>
          <c:tx>
            <c:strRef>
              <c:f>Graphs!$H$167</c:f>
              <c:strCache>
                <c:ptCount val="1"/>
                <c:pt idx="0">
                  <c:v>9-ая  </c:v>
                </c:pt>
              </c:strCache>
            </c:strRef>
          </c:tx>
          <c:cat>
            <c:strRef>
              <c:f>Graphs!$I$4:$N$4</c:f>
              <c:strCache>
                <c:ptCount val="6"/>
                <c:pt idx="5">
                  <c:v>0</c:v>
                </c:pt>
              </c:strCache>
            </c:strRef>
          </c:cat>
          <c:val>
            <c:numRef>
              <c:f>Graphs!$I$167:$N$167</c:f>
              <c:numCache>
                <c:formatCode>0%</c:formatCode>
                <c:ptCount val="6"/>
                <c:pt idx="0">
                  <c:v>0</c:v>
                </c:pt>
                <c:pt idx="1">
                  <c:v>0</c:v>
                </c:pt>
                <c:pt idx="2">
                  <c:v>0</c:v>
                </c:pt>
                <c:pt idx="3">
                  <c:v>0</c:v>
                </c:pt>
                <c:pt idx="4">
                  <c:v>0</c:v>
                </c:pt>
                <c:pt idx="5">
                  <c:v>0</c:v>
                </c:pt>
              </c:numCache>
            </c:numRef>
          </c:val>
        </c:ser>
        <c:ser>
          <c:idx val="9"/>
          <c:order val="9"/>
          <c:tx>
            <c:strRef>
              <c:f>Graphs!$H$168</c:f>
              <c:strCache>
                <c:ptCount val="1"/>
                <c:pt idx="0">
                  <c:v>10-ая  </c:v>
                </c:pt>
              </c:strCache>
            </c:strRef>
          </c:tx>
          <c:cat>
            <c:strRef>
              <c:f>Graphs!$I$4:$N$4</c:f>
              <c:strCache>
                <c:ptCount val="6"/>
                <c:pt idx="5">
                  <c:v>0</c:v>
                </c:pt>
              </c:strCache>
            </c:strRef>
          </c:cat>
          <c:val>
            <c:numRef>
              <c:f>Graphs!$I$168:$N$168</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157418624"/>
        <c:axId val="157420160"/>
      </c:areaChart>
      <c:catAx>
        <c:axId val="157418624"/>
        <c:scaling>
          <c:orientation val="minMax"/>
        </c:scaling>
        <c:delete val="0"/>
        <c:axPos val="b"/>
        <c:numFmt formatCode="dd/mm/yy;@" sourceLinked="0"/>
        <c:majorTickMark val="out"/>
        <c:minorTickMark val="none"/>
        <c:tickLblPos val="nextTo"/>
        <c:txPr>
          <a:bodyPr rot="0" vert="horz"/>
          <a:lstStyle/>
          <a:p>
            <a:pPr>
              <a:defRPr sz="800" b="1" i="0" u="none" strike="noStrike" baseline="0">
                <a:solidFill>
                  <a:srgbClr val="000000"/>
                </a:solidFill>
                <a:latin typeface="Calibri"/>
                <a:ea typeface="Calibri"/>
                <a:cs typeface="Calibri"/>
              </a:defRPr>
            </a:pPr>
            <a:endParaRPr lang="ru-RU"/>
          </a:p>
        </c:txPr>
        <c:crossAx val="157420160"/>
        <c:crosses val="autoZero"/>
        <c:auto val="1"/>
        <c:lblAlgn val="ctr"/>
        <c:lblOffset val="100"/>
        <c:noMultiLvlLbl val="0"/>
      </c:catAx>
      <c:valAx>
        <c:axId val="157420160"/>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ru-RU"/>
          </a:p>
        </c:txPr>
        <c:crossAx val="157418624"/>
        <c:crosses val="autoZero"/>
        <c:crossBetween val="midCat"/>
      </c:valAx>
    </c:plotArea>
    <c:legend>
      <c:legendPos val="b"/>
      <c:layout>
        <c:manualLayout>
          <c:xMode val="edge"/>
          <c:yMode val="edge"/>
          <c:x val="2.885148835068602E-2"/>
          <c:y val="0.74612678623505391"/>
          <c:w val="0.90438233135550006"/>
          <c:h val="0.2260954359871683"/>
        </c:manualLayout>
      </c:layout>
      <c:overlay val="0"/>
      <c:txPr>
        <a:bodyPr/>
        <a:lstStyle/>
        <a:p>
          <a:pPr>
            <a:defRPr sz="675" b="0" i="0" u="none" strike="noStrike" baseline="0">
              <a:solidFill>
                <a:srgbClr val="000000"/>
              </a:solidFill>
              <a:latin typeface="Calibri"/>
              <a:ea typeface="Calibri"/>
              <a:cs typeface="Calibri"/>
            </a:defRPr>
          </a:pPr>
          <a:endParaRPr lang="ru-RU"/>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L!$B$367" fmlaRange="L!$B$368:$B$378" noThreeD="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Link="L!$B$364" fmlaRange="L!$B$365:$B$366" noThreeD="1" sel="2" val="0"/>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Link="L!$B$380" fmlaRange="L!$B$381:$B$383" noThreeD="1" val="0"/>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Drop" dropStyle="combo" dx="16" fmlaLink="L!$B$536" fmlaRange="L!$B$537:$B$538" noThreeD="1" sel="2" val="0"/>
</file>

<file path=xl/ctrlProps/ctrlProp42.xml><?xml version="1.0" encoding="utf-8"?>
<formControlPr xmlns="http://schemas.microsoft.com/office/spreadsheetml/2009/9/main" objectType="Drop" dropStyle="combo" dx="16" fmlaLink="L!$B$1" fmlaRange="L!$B$2:$B$3" noThreeD="1" sel="2" val="0"/>
</file>

<file path=xl/ctrlProps/ctrlProp43.xml><?xml version="1.0" encoding="utf-8"?>
<formControlPr xmlns="http://schemas.microsoft.com/office/spreadsheetml/2009/9/main" objectType="Drop" dropStyle="combo" dx="16" fmlaLink="L!$B$55" fmlaRange="L!$B$56:$B$57" noThreeD="1" sel="2" val="0"/>
</file>

<file path=xl/ctrlProps/ctrlProp44.xml><?xml version="1.0" encoding="utf-8"?>
<formControlPr xmlns="http://schemas.microsoft.com/office/spreadsheetml/2009/9/main" objectType="Drop" dropStyle="combo" dx="16" fmlaLink="L!$B$670" fmlaRange="L!$B$671:$B$672" noThreeD="1" sel="2" val="0"/>
</file>

<file path=xl/ctrlProps/ctrlProp45.xml><?xml version="1.0" encoding="utf-8"?>
<formControlPr xmlns="http://schemas.microsoft.com/office/spreadsheetml/2009/9/main" objectType="Drop" dropStyle="combo" dx="16" fmlaLink="L!$B$249" fmlaRange="L!$B$250:$B$251" noThreeD="1" sel="2" val="0"/>
</file>

<file path=xl/ctrlProps/ctrlProp46.xml><?xml version="1.0" encoding="utf-8"?>
<formControlPr xmlns="http://schemas.microsoft.com/office/spreadsheetml/2009/9/main" objectType="Drop" dropStyle="combo" dx="16" fmlaLink="L!$B$624" fmlaRange="L!$B$625:$B$626" noThreeD="1" sel="2" val="0"/>
</file>

<file path=xl/ctrlProps/ctrlProp47.xml><?xml version="1.0" encoding="utf-8"?>
<formControlPr xmlns="http://schemas.microsoft.com/office/spreadsheetml/2009/9/main" objectType="Drop" dropStyle="combo" dx="16" fmlaLink="L!$B$592" fmlaRange="L!$B$593:$B$594" noThreeD="1" sel="2" val="0"/>
</file>

<file path=xl/ctrlProps/ctrlProp48.xml><?xml version="1.0" encoding="utf-8"?>
<formControlPr xmlns="http://schemas.microsoft.com/office/spreadsheetml/2009/9/main" objectType="Drop" dropStyle="combo" dx="16" fmlaLink="L!$B$719" fmlaRange="L!$B$720:$B$721" noThreeD="1" sel="2" val="0"/>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Drop" dropStyle="combo" dx="16" fmlaLink="L!$B$105" fmlaRange="L!$B$106:$B$107" noThreeD="1" sel="2" val="0"/>
</file>

<file path=xl/ctrlProps/ctrlProp53.xml><?xml version="1.0" encoding="utf-8"?>
<formControlPr xmlns="http://schemas.microsoft.com/office/spreadsheetml/2009/9/main" objectType="Drop" dropStyle="combo" dx="16" fmlaLink="L!$B$249" fmlaRange="L!$B$250:$B$251" noThreeD="1" sel="2" val="0"/>
</file>

<file path=xl/ctrlProps/ctrlProp54.xml><?xml version="1.0" encoding="utf-8"?>
<formControlPr xmlns="http://schemas.microsoft.com/office/spreadsheetml/2009/9/main" objectType="Drop" dropStyle="combo" dx="16" fmlaLink="L!$B$190" fmlaRange="L!$B$191:$B$192" noThreeD="1" sel="2" val="0"/>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16</xdr:row>
          <xdr:rowOff>9525</xdr:rowOff>
        </xdr:from>
        <xdr:to>
          <xdr:col>3</xdr:col>
          <xdr:colOff>571500</xdr:colOff>
          <xdr:row>16</xdr:row>
          <xdr:rowOff>209550</xdr:rowOff>
        </xdr:to>
        <xdr:sp macro="" textlink="">
          <xdr:nvSpPr>
            <xdr:cNvPr id="5153" name="Drop Down 33" hidden="1">
              <a:extLst>
                <a:ext uri="{63B3BB69-23CF-44E3-9099-C40C66FF867C}">
                  <a14:compatExt spid="_x0000_s5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xdr:row>
          <xdr:rowOff>0</xdr:rowOff>
        </xdr:from>
        <xdr:to>
          <xdr:col>7</xdr:col>
          <xdr:colOff>19050</xdr:colOff>
          <xdr:row>3</xdr:row>
          <xdr:rowOff>57150</xdr:rowOff>
        </xdr:to>
        <xdr:sp macro="" textlink="">
          <xdr:nvSpPr>
            <xdr:cNvPr id="5156" name="Drop Down 36" hidden="1">
              <a:extLst>
                <a:ext uri="{63B3BB69-23CF-44E3-9099-C40C66FF867C}">
                  <a14:compatExt spid="_x0000_s515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119</xdr:row>
          <xdr:rowOff>114300</xdr:rowOff>
        </xdr:from>
        <xdr:to>
          <xdr:col>0</xdr:col>
          <xdr:colOff>428625</xdr:colOff>
          <xdr:row>121</xdr:row>
          <xdr:rowOff>47625</xdr:rowOff>
        </xdr:to>
        <xdr:sp macro="" textlink="">
          <xdr:nvSpPr>
            <xdr:cNvPr id="5161" name="Check Box 41" hidden="1">
              <a:extLst>
                <a:ext uri="{63B3BB69-23CF-44E3-9099-C40C66FF867C}">
                  <a14:compatExt spid="_x0000_s5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120</xdr:row>
          <xdr:rowOff>104775</xdr:rowOff>
        </xdr:from>
        <xdr:to>
          <xdr:col>0</xdr:col>
          <xdr:colOff>428625</xdr:colOff>
          <xdr:row>122</xdr:row>
          <xdr:rowOff>28575</xdr:rowOff>
        </xdr:to>
        <xdr:sp macro="" textlink="">
          <xdr:nvSpPr>
            <xdr:cNvPr id="5162" name="Check Box 42" hidden="1">
              <a:extLst>
                <a:ext uri="{63B3BB69-23CF-44E3-9099-C40C66FF867C}">
                  <a14:compatExt spid="_x0000_s5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121</xdr:row>
          <xdr:rowOff>114300</xdr:rowOff>
        </xdr:from>
        <xdr:to>
          <xdr:col>0</xdr:col>
          <xdr:colOff>428625</xdr:colOff>
          <xdr:row>123</xdr:row>
          <xdr:rowOff>19050</xdr:rowOff>
        </xdr:to>
        <xdr:sp macro="" textlink="">
          <xdr:nvSpPr>
            <xdr:cNvPr id="5166" name="Check Box 46" hidden="1">
              <a:extLst>
                <a:ext uri="{63B3BB69-23CF-44E3-9099-C40C66FF867C}">
                  <a14:compatExt spid="_x0000_s5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127</xdr:row>
          <xdr:rowOff>104775</xdr:rowOff>
        </xdr:from>
        <xdr:to>
          <xdr:col>0</xdr:col>
          <xdr:colOff>419100</xdr:colOff>
          <xdr:row>129</xdr:row>
          <xdr:rowOff>38100</xdr:rowOff>
        </xdr:to>
        <xdr:sp macro="" textlink="">
          <xdr:nvSpPr>
            <xdr:cNvPr id="5167" name="Check Box 47" hidden="1">
              <a:extLst>
                <a:ext uri="{63B3BB69-23CF-44E3-9099-C40C66FF867C}">
                  <a14:compatExt spid="_x0000_s5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133</xdr:row>
          <xdr:rowOff>66675</xdr:rowOff>
        </xdr:from>
        <xdr:to>
          <xdr:col>6</xdr:col>
          <xdr:colOff>342900</xdr:colOff>
          <xdr:row>133</xdr:row>
          <xdr:rowOff>428625</xdr:rowOff>
        </xdr:to>
        <xdr:sp macro="" textlink="">
          <xdr:nvSpPr>
            <xdr:cNvPr id="5168" name="Check Box 48" hidden="1">
              <a:extLst>
                <a:ext uri="{63B3BB69-23CF-44E3-9099-C40C66FF867C}">
                  <a14:compatExt spid="_x0000_s5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66675</xdr:rowOff>
        </xdr:from>
        <xdr:to>
          <xdr:col>7</xdr:col>
          <xdr:colOff>323850</xdr:colOff>
          <xdr:row>133</xdr:row>
          <xdr:rowOff>428625</xdr:rowOff>
        </xdr:to>
        <xdr:sp macro="" textlink="">
          <xdr:nvSpPr>
            <xdr:cNvPr id="5169" name="Check Box 49" hidden="1">
              <a:extLst>
                <a:ext uri="{63B3BB69-23CF-44E3-9099-C40C66FF867C}">
                  <a14:compatExt spid="_x0000_s5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6</xdr:col>
          <xdr:colOff>342900</xdr:colOff>
          <xdr:row>134</xdr:row>
          <xdr:rowOff>304800</xdr:rowOff>
        </xdr:to>
        <xdr:sp macro="" textlink="">
          <xdr:nvSpPr>
            <xdr:cNvPr id="5170" name="Check Box 50" hidden="1">
              <a:extLst>
                <a:ext uri="{63B3BB69-23CF-44E3-9099-C40C66FF867C}">
                  <a14:compatExt spid="_x0000_s5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28575</xdr:rowOff>
        </xdr:from>
        <xdr:to>
          <xdr:col>7</xdr:col>
          <xdr:colOff>314325</xdr:colOff>
          <xdr:row>134</xdr:row>
          <xdr:rowOff>304800</xdr:rowOff>
        </xdr:to>
        <xdr:sp macro="" textlink="">
          <xdr:nvSpPr>
            <xdr:cNvPr id="5171" name="Check Box 51" hidden="1">
              <a:extLst>
                <a:ext uri="{63B3BB69-23CF-44E3-9099-C40C66FF867C}">
                  <a14:compatExt spid="_x0000_s5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314325</xdr:rowOff>
        </xdr:from>
        <xdr:to>
          <xdr:col>7</xdr:col>
          <xdr:colOff>314325</xdr:colOff>
          <xdr:row>136</xdr:row>
          <xdr:rowOff>0</xdr:rowOff>
        </xdr:to>
        <xdr:sp macro="" textlink="">
          <xdr:nvSpPr>
            <xdr:cNvPr id="5173" name="Check Box 53" hidden="1">
              <a:extLst>
                <a:ext uri="{63B3BB69-23CF-44E3-9099-C40C66FF867C}">
                  <a14:compatExt spid="_x0000_s5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171450</xdr:rowOff>
        </xdr:from>
        <xdr:to>
          <xdr:col>7</xdr:col>
          <xdr:colOff>314325</xdr:colOff>
          <xdr:row>136</xdr:row>
          <xdr:rowOff>180975</xdr:rowOff>
        </xdr:to>
        <xdr:sp macro="" textlink="">
          <xdr:nvSpPr>
            <xdr:cNvPr id="5177" name="Check Box 57" hidden="1">
              <a:extLst>
                <a:ext uri="{63B3BB69-23CF-44E3-9099-C40C66FF867C}">
                  <a14:compatExt spid="_x0000_s5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304800</xdr:rowOff>
        </xdr:from>
        <xdr:to>
          <xdr:col>6</xdr:col>
          <xdr:colOff>333375</xdr:colOff>
          <xdr:row>136</xdr:row>
          <xdr:rowOff>0</xdr:rowOff>
        </xdr:to>
        <xdr:sp macro="" textlink="">
          <xdr:nvSpPr>
            <xdr:cNvPr id="5178" name="Check Box 58" hidden="1">
              <a:extLst>
                <a:ext uri="{63B3BB69-23CF-44E3-9099-C40C66FF867C}">
                  <a14:compatExt spid="_x0000_s5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180975</xdr:rowOff>
        </xdr:from>
        <xdr:to>
          <xdr:col>6</xdr:col>
          <xdr:colOff>333375</xdr:colOff>
          <xdr:row>137</xdr:row>
          <xdr:rowOff>0</xdr:rowOff>
        </xdr:to>
        <xdr:sp macro="" textlink="">
          <xdr:nvSpPr>
            <xdr:cNvPr id="5179" name="Check Box 59" hidden="1">
              <a:extLst>
                <a:ext uri="{63B3BB69-23CF-44E3-9099-C40C66FF867C}">
                  <a14:compatExt spid="_x0000_s5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152400</xdr:rowOff>
        </xdr:from>
        <xdr:to>
          <xdr:col>7</xdr:col>
          <xdr:colOff>314325</xdr:colOff>
          <xdr:row>140</xdr:row>
          <xdr:rowOff>0</xdr:rowOff>
        </xdr:to>
        <xdr:sp macro="" textlink="">
          <xdr:nvSpPr>
            <xdr:cNvPr id="5180" name="Check Box 60" hidden="1">
              <a:extLst>
                <a:ext uri="{63B3BB69-23CF-44E3-9099-C40C66FF867C}">
                  <a14:compatExt spid="_x0000_s5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161925</xdr:rowOff>
        </xdr:from>
        <xdr:to>
          <xdr:col>6</xdr:col>
          <xdr:colOff>342900</xdr:colOff>
          <xdr:row>140</xdr:row>
          <xdr:rowOff>9525</xdr:rowOff>
        </xdr:to>
        <xdr:sp macro="" textlink="">
          <xdr:nvSpPr>
            <xdr:cNvPr id="5181" name="Check Box 61" hidden="1">
              <a:extLst>
                <a:ext uri="{63B3BB69-23CF-44E3-9099-C40C66FF867C}">
                  <a14:compatExt spid="_x0000_s5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140</xdr:row>
          <xdr:rowOff>38100</xdr:rowOff>
        </xdr:from>
        <xdr:to>
          <xdr:col>6</xdr:col>
          <xdr:colOff>333375</xdr:colOff>
          <xdr:row>141</xdr:row>
          <xdr:rowOff>0</xdr:rowOff>
        </xdr:to>
        <xdr:sp macro="" textlink="">
          <xdr:nvSpPr>
            <xdr:cNvPr id="5182" name="Check Box 62" hidden="1">
              <a:extLst>
                <a:ext uri="{63B3BB69-23CF-44E3-9099-C40C66FF867C}">
                  <a14:compatExt spid="_x0000_s5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38100</xdr:rowOff>
        </xdr:from>
        <xdr:to>
          <xdr:col>7</xdr:col>
          <xdr:colOff>304800</xdr:colOff>
          <xdr:row>141</xdr:row>
          <xdr:rowOff>0</xdr:rowOff>
        </xdr:to>
        <xdr:sp macro="" textlink="">
          <xdr:nvSpPr>
            <xdr:cNvPr id="5183" name="Check Box 63" hidden="1">
              <a:extLst>
                <a:ext uri="{63B3BB69-23CF-44E3-9099-C40C66FF867C}">
                  <a14:compatExt spid="_x0000_s5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38100</xdr:rowOff>
        </xdr:from>
        <xdr:to>
          <xdr:col>6</xdr:col>
          <xdr:colOff>333375</xdr:colOff>
          <xdr:row>142</xdr:row>
          <xdr:rowOff>0</xdr:rowOff>
        </xdr:to>
        <xdr:sp macro="" textlink="">
          <xdr:nvSpPr>
            <xdr:cNvPr id="5184" name="Check Box 64" hidden="1">
              <a:extLst>
                <a:ext uri="{63B3BB69-23CF-44E3-9099-C40C66FF867C}">
                  <a14:compatExt spid="_x0000_s5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141</xdr:row>
          <xdr:rowOff>47625</xdr:rowOff>
        </xdr:from>
        <xdr:to>
          <xdr:col>7</xdr:col>
          <xdr:colOff>295275</xdr:colOff>
          <xdr:row>142</xdr:row>
          <xdr:rowOff>0</xdr:rowOff>
        </xdr:to>
        <xdr:sp macro="" textlink="">
          <xdr:nvSpPr>
            <xdr:cNvPr id="5185" name="Check Box 65" hidden="1">
              <a:extLst>
                <a:ext uri="{63B3BB69-23CF-44E3-9099-C40C66FF867C}">
                  <a14:compatExt spid="_x0000_s5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156</xdr:row>
          <xdr:rowOff>95250</xdr:rowOff>
        </xdr:from>
        <xdr:to>
          <xdr:col>0</xdr:col>
          <xdr:colOff>428625</xdr:colOff>
          <xdr:row>158</xdr:row>
          <xdr:rowOff>9525</xdr:rowOff>
        </xdr:to>
        <xdr:sp macro="" textlink="">
          <xdr:nvSpPr>
            <xdr:cNvPr id="5186" name="Check Box 66" hidden="1">
              <a:extLst>
                <a:ext uri="{63B3BB69-23CF-44E3-9099-C40C66FF867C}">
                  <a14:compatExt spid="_x0000_s5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157</xdr:row>
          <xdr:rowOff>114300</xdr:rowOff>
        </xdr:from>
        <xdr:to>
          <xdr:col>0</xdr:col>
          <xdr:colOff>428625</xdr:colOff>
          <xdr:row>159</xdr:row>
          <xdr:rowOff>28575</xdr:rowOff>
        </xdr:to>
        <xdr:sp macro="" textlink="">
          <xdr:nvSpPr>
            <xdr:cNvPr id="5187" name="Check Box 67" hidden="1">
              <a:extLst>
                <a:ext uri="{63B3BB69-23CF-44E3-9099-C40C66FF867C}">
                  <a14:compatExt spid="_x0000_s5187"/>
                </a:ext>
              </a:extLst>
            </xdr:cNvPr>
            <xdr:cNvSpPr/>
          </xdr:nvSpPr>
          <xdr:spPr>
            <a:xfrm>
              <a:off x="0" y="0"/>
              <a:ext cx="0" cy="0"/>
            </a:xfrm>
            <a:prstGeom prst="rect">
              <a:avLst/>
            </a:prstGeom>
          </xdr:spPr>
        </xdr:sp>
        <xdr:clientData/>
      </xdr:twoCellAnchor>
    </mc:Choice>
    <mc:Fallback/>
  </mc:AlternateContent>
  <xdr:twoCellAnchor editAs="oneCell">
    <xdr:from>
      <xdr:col>2</xdr:col>
      <xdr:colOff>133350</xdr:colOff>
      <xdr:row>0</xdr:row>
      <xdr:rowOff>95250</xdr:rowOff>
    </xdr:from>
    <xdr:to>
      <xdr:col>4</xdr:col>
      <xdr:colOff>419100</xdr:colOff>
      <xdr:row>7</xdr:row>
      <xdr:rowOff>123825</xdr:rowOff>
    </xdr:to>
    <xdr:pic>
      <xdr:nvPicPr>
        <xdr:cNvPr id="5613" name="Picture 84" descr="Logo-r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5250"/>
          <a:ext cx="14763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8</xdr:col>
          <xdr:colOff>0</xdr:colOff>
          <xdr:row>16</xdr:row>
          <xdr:rowOff>209550</xdr:rowOff>
        </xdr:to>
        <xdr:sp macro="" textlink="">
          <xdr:nvSpPr>
            <xdr:cNvPr id="5207" name="Drop Down 87" hidden="1">
              <a:extLst>
                <a:ext uri="{63B3BB69-23CF-44E3-9099-C40C66FF867C}">
                  <a14:compatExt spid="_x0000_s5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159</xdr:row>
          <xdr:rowOff>95250</xdr:rowOff>
        </xdr:from>
        <xdr:to>
          <xdr:col>0</xdr:col>
          <xdr:colOff>428625</xdr:colOff>
          <xdr:row>161</xdr:row>
          <xdr:rowOff>28575</xdr:rowOff>
        </xdr:to>
        <xdr:sp macro="" textlink="">
          <xdr:nvSpPr>
            <xdr:cNvPr id="5235" name="Check Box 115" hidden="1">
              <a:extLst>
                <a:ext uri="{63B3BB69-23CF-44E3-9099-C40C66FF867C}">
                  <a14:compatExt spid="_x0000_s5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162</xdr:row>
          <xdr:rowOff>95250</xdr:rowOff>
        </xdr:from>
        <xdr:to>
          <xdr:col>0</xdr:col>
          <xdr:colOff>428625</xdr:colOff>
          <xdr:row>164</xdr:row>
          <xdr:rowOff>28575</xdr:rowOff>
        </xdr:to>
        <xdr:sp macro="" textlink="">
          <xdr:nvSpPr>
            <xdr:cNvPr id="5237" name="Check Box 117" hidden="1">
              <a:extLst>
                <a:ext uri="{63B3BB69-23CF-44E3-9099-C40C66FF867C}">
                  <a14:compatExt spid="_x0000_s5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160</xdr:row>
          <xdr:rowOff>95250</xdr:rowOff>
        </xdr:from>
        <xdr:to>
          <xdr:col>0</xdr:col>
          <xdr:colOff>428625</xdr:colOff>
          <xdr:row>162</xdr:row>
          <xdr:rowOff>28575</xdr:rowOff>
        </xdr:to>
        <xdr:sp macro="" textlink="">
          <xdr:nvSpPr>
            <xdr:cNvPr id="5238" name="Check Box 118" hidden="1">
              <a:extLst>
                <a:ext uri="{63B3BB69-23CF-44E3-9099-C40C66FF867C}">
                  <a14:compatExt spid="_x0000_s5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164</xdr:row>
          <xdr:rowOff>95250</xdr:rowOff>
        </xdr:from>
        <xdr:to>
          <xdr:col>0</xdr:col>
          <xdr:colOff>428625</xdr:colOff>
          <xdr:row>166</xdr:row>
          <xdr:rowOff>28575</xdr:rowOff>
        </xdr:to>
        <xdr:sp macro="" textlink="">
          <xdr:nvSpPr>
            <xdr:cNvPr id="5242" name="Check Box 122" hidden="1">
              <a:extLst>
                <a:ext uri="{63B3BB69-23CF-44E3-9099-C40C66FF867C}">
                  <a14:compatExt spid="_x0000_s5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165</xdr:row>
          <xdr:rowOff>95250</xdr:rowOff>
        </xdr:from>
        <xdr:to>
          <xdr:col>0</xdr:col>
          <xdr:colOff>428625</xdr:colOff>
          <xdr:row>167</xdr:row>
          <xdr:rowOff>28575</xdr:rowOff>
        </xdr:to>
        <xdr:sp macro="" textlink="">
          <xdr:nvSpPr>
            <xdr:cNvPr id="5243" name="Check Box 123" hidden="1">
              <a:extLst>
                <a:ext uri="{63B3BB69-23CF-44E3-9099-C40C66FF867C}">
                  <a14:compatExt spid="_x0000_s5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166</xdr:row>
          <xdr:rowOff>95250</xdr:rowOff>
        </xdr:from>
        <xdr:to>
          <xdr:col>0</xdr:col>
          <xdr:colOff>428625</xdr:colOff>
          <xdr:row>168</xdr:row>
          <xdr:rowOff>28575</xdr:rowOff>
        </xdr:to>
        <xdr:sp macro="" textlink="">
          <xdr:nvSpPr>
            <xdr:cNvPr id="5244" name="Check Box 124" hidden="1">
              <a:extLst>
                <a:ext uri="{63B3BB69-23CF-44E3-9099-C40C66FF867C}">
                  <a14:compatExt spid="_x0000_s5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142</xdr:row>
          <xdr:rowOff>19050</xdr:rowOff>
        </xdr:from>
        <xdr:to>
          <xdr:col>6</xdr:col>
          <xdr:colOff>323850</xdr:colOff>
          <xdr:row>142</xdr:row>
          <xdr:rowOff>285750</xdr:rowOff>
        </xdr:to>
        <xdr:sp macro="" textlink="">
          <xdr:nvSpPr>
            <xdr:cNvPr id="5256" name="Check Box 136" hidden="1">
              <a:extLst>
                <a:ext uri="{63B3BB69-23CF-44E3-9099-C40C66FF867C}">
                  <a14:compatExt spid="_x0000_s5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142</xdr:row>
          <xdr:rowOff>9525</xdr:rowOff>
        </xdr:from>
        <xdr:to>
          <xdr:col>7</xdr:col>
          <xdr:colOff>295275</xdr:colOff>
          <xdr:row>142</xdr:row>
          <xdr:rowOff>276225</xdr:rowOff>
        </xdr:to>
        <xdr:sp macro="" textlink="">
          <xdr:nvSpPr>
            <xdr:cNvPr id="5257" name="Check Box 137" hidden="1">
              <a:extLst>
                <a:ext uri="{63B3BB69-23CF-44E3-9099-C40C66FF867C}">
                  <a14:compatExt spid="_x0000_s5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118</xdr:row>
          <xdr:rowOff>104775</xdr:rowOff>
        </xdr:from>
        <xdr:to>
          <xdr:col>0</xdr:col>
          <xdr:colOff>428625</xdr:colOff>
          <xdr:row>120</xdr:row>
          <xdr:rowOff>38100</xdr:rowOff>
        </xdr:to>
        <xdr:sp macro="" textlink="">
          <xdr:nvSpPr>
            <xdr:cNvPr id="5278" name="Check Box 158" hidden="1">
              <a:extLst>
                <a:ext uri="{63B3BB69-23CF-44E3-9099-C40C66FF867C}">
                  <a14:compatExt spid="_x0000_s5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155</xdr:row>
          <xdr:rowOff>85725</xdr:rowOff>
        </xdr:from>
        <xdr:to>
          <xdr:col>0</xdr:col>
          <xdr:colOff>428625</xdr:colOff>
          <xdr:row>157</xdr:row>
          <xdr:rowOff>19050</xdr:rowOff>
        </xdr:to>
        <xdr:sp macro="" textlink="">
          <xdr:nvSpPr>
            <xdr:cNvPr id="5310" name="Check Box 190" hidden="1">
              <a:extLst>
                <a:ext uri="{63B3BB69-23CF-44E3-9099-C40C66FF867C}">
                  <a14:compatExt spid="_x0000_s5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167</xdr:row>
          <xdr:rowOff>114300</xdr:rowOff>
        </xdr:from>
        <xdr:to>
          <xdr:col>0</xdr:col>
          <xdr:colOff>428625</xdr:colOff>
          <xdr:row>169</xdr:row>
          <xdr:rowOff>47625</xdr:rowOff>
        </xdr:to>
        <xdr:sp macro="" textlink="">
          <xdr:nvSpPr>
            <xdr:cNvPr id="5344" name="Check Box 224" hidden="1">
              <a:extLst>
                <a:ext uri="{63B3BB69-23CF-44E3-9099-C40C66FF867C}">
                  <a14:compatExt spid="_x0000_s5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169</xdr:row>
          <xdr:rowOff>114300</xdr:rowOff>
        </xdr:from>
        <xdr:to>
          <xdr:col>0</xdr:col>
          <xdr:colOff>428625</xdr:colOff>
          <xdr:row>171</xdr:row>
          <xdr:rowOff>47625</xdr:rowOff>
        </xdr:to>
        <xdr:sp macro="" textlink="">
          <xdr:nvSpPr>
            <xdr:cNvPr id="5348" name="Check Box 228" hidden="1">
              <a:extLst>
                <a:ext uri="{63B3BB69-23CF-44E3-9099-C40C66FF867C}">
                  <a14:compatExt spid="_x0000_s5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170</xdr:row>
          <xdr:rowOff>114300</xdr:rowOff>
        </xdr:from>
        <xdr:to>
          <xdr:col>0</xdr:col>
          <xdr:colOff>428625</xdr:colOff>
          <xdr:row>172</xdr:row>
          <xdr:rowOff>47625</xdr:rowOff>
        </xdr:to>
        <xdr:sp macro="" textlink="">
          <xdr:nvSpPr>
            <xdr:cNvPr id="5349" name="Check Box 229" hidden="1">
              <a:extLst>
                <a:ext uri="{63B3BB69-23CF-44E3-9099-C40C66FF867C}">
                  <a14:compatExt spid="_x0000_s5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158</xdr:row>
          <xdr:rowOff>95250</xdr:rowOff>
        </xdr:from>
        <xdr:to>
          <xdr:col>0</xdr:col>
          <xdr:colOff>428625</xdr:colOff>
          <xdr:row>160</xdr:row>
          <xdr:rowOff>28575</xdr:rowOff>
        </xdr:to>
        <xdr:sp macro="" textlink="">
          <xdr:nvSpPr>
            <xdr:cNvPr id="5586" name="Check Box 466" hidden="1">
              <a:extLst>
                <a:ext uri="{63B3BB69-23CF-44E3-9099-C40C66FF867C}">
                  <a14:compatExt spid="_x0000_s5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171</xdr:row>
          <xdr:rowOff>114300</xdr:rowOff>
        </xdr:from>
        <xdr:to>
          <xdr:col>0</xdr:col>
          <xdr:colOff>428625</xdr:colOff>
          <xdr:row>172</xdr:row>
          <xdr:rowOff>190500</xdr:rowOff>
        </xdr:to>
        <xdr:sp macro="" textlink="">
          <xdr:nvSpPr>
            <xdr:cNvPr id="5593" name="Check Box 473" hidden="1">
              <a:extLst>
                <a:ext uri="{63B3BB69-23CF-44E3-9099-C40C66FF867C}">
                  <a14:compatExt spid="_x0000_s5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172</xdr:row>
          <xdr:rowOff>323850</xdr:rowOff>
        </xdr:from>
        <xdr:to>
          <xdr:col>0</xdr:col>
          <xdr:colOff>428625</xdr:colOff>
          <xdr:row>174</xdr:row>
          <xdr:rowOff>28575</xdr:rowOff>
        </xdr:to>
        <xdr:sp macro="" textlink="">
          <xdr:nvSpPr>
            <xdr:cNvPr id="5595" name="Check Box 475" hidden="1">
              <a:extLst>
                <a:ext uri="{63B3BB69-23CF-44E3-9099-C40C66FF867C}">
                  <a14:compatExt spid="_x0000_s5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173</xdr:row>
          <xdr:rowOff>104775</xdr:rowOff>
        </xdr:from>
        <xdr:to>
          <xdr:col>0</xdr:col>
          <xdr:colOff>428625</xdr:colOff>
          <xdr:row>174</xdr:row>
          <xdr:rowOff>180975</xdr:rowOff>
        </xdr:to>
        <xdr:sp macro="" textlink="">
          <xdr:nvSpPr>
            <xdr:cNvPr id="5596" name="Check Box 476" hidden="1">
              <a:extLst>
                <a:ext uri="{63B3BB69-23CF-44E3-9099-C40C66FF867C}">
                  <a14:compatExt spid="_x0000_s5596"/>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0</xdr:row>
          <xdr:rowOff>47625</xdr:rowOff>
        </xdr:from>
        <xdr:to>
          <xdr:col>2</xdr:col>
          <xdr:colOff>1314450</xdr:colOff>
          <xdr:row>1</xdr:row>
          <xdr:rowOff>104775</xdr:rowOff>
        </xdr:to>
        <xdr:sp macro="" textlink="">
          <xdr:nvSpPr>
            <xdr:cNvPr id="25609" name="Drop Down 9" hidden="1">
              <a:extLst>
                <a:ext uri="{63B3BB69-23CF-44E3-9099-C40C66FF867C}">
                  <a14:compatExt spid="_x0000_s25609"/>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9525</xdr:rowOff>
        </xdr:from>
        <xdr:to>
          <xdr:col>1</xdr:col>
          <xdr:colOff>742950</xdr:colOff>
          <xdr:row>3</xdr:row>
          <xdr:rowOff>66675</xdr:rowOff>
        </xdr:to>
        <xdr:sp macro="" textlink="">
          <xdr:nvSpPr>
            <xdr:cNvPr id="1006593" name="Drop Down 1" hidden="1">
              <a:extLst>
                <a:ext uri="{63B3BB69-23CF-44E3-9099-C40C66FF867C}">
                  <a14:compatExt spid="_x0000_s1006593"/>
                </a:ext>
              </a:extLst>
            </xdr:cNvPr>
            <xdr:cNvSpPr/>
          </xdr:nvSpPr>
          <xdr:spPr>
            <a:xfrm>
              <a:off x="0" y="0"/>
              <a:ext cx="0" cy="0"/>
            </a:xfrm>
            <a:prstGeom prst="rect">
              <a:avLst/>
            </a:prstGeom>
          </xdr:spPr>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142875</xdr:colOff>
      <xdr:row>6</xdr:row>
      <xdr:rowOff>38100</xdr:rowOff>
    </xdr:from>
    <xdr:to>
      <xdr:col>5</xdr:col>
      <xdr:colOff>1285875</xdr:colOff>
      <xdr:row>22</xdr:row>
      <xdr:rowOff>104775</xdr:rowOff>
    </xdr:to>
    <xdr:graphicFrame macro="">
      <xdr:nvGraphicFramePr>
        <xdr:cNvPr id="2116734" name="Диаграмма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47625</xdr:colOff>
          <xdr:row>0</xdr:row>
          <xdr:rowOff>95250</xdr:rowOff>
        </xdr:from>
        <xdr:to>
          <xdr:col>5</xdr:col>
          <xdr:colOff>847725</xdr:colOff>
          <xdr:row>2</xdr:row>
          <xdr:rowOff>9525</xdr:rowOff>
        </xdr:to>
        <xdr:sp macro="" textlink="">
          <xdr:nvSpPr>
            <xdr:cNvPr id="8217" name="Drop Down 25" hidden="1">
              <a:extLst>
                <a:ext uri="{63B3BB69-23CF-44E3-9099-C40C66FF867C}">
                  <a14:compatExt spid="_x0000_s8217"/>
                </a:ext>
              </a:extLst>
            </xdr:cNvPr>
            <xdr:cNvSpPr/>
          </xdr:nvSpPr>
          <xdr:spPr>
            <a:xfrm>
              <a:off x="0" y="0"/>
              <a:ext cx="0" cy="0"/>
            </a:xfrm>
            <a:prstGeom prst="rect">
              <a:avLst/>
            </a:prstGeom>
          </xdr:spPr>
        </xdr:sp>
        <xdr:clientData/>
      </xdr:twoCellAnchor>
    </mc:Choice>
    <mc:Fallback/>
  </mc:AlternateContent>
  <xdr:twoCellAnchor>
    <xdr:from>
      <xdr:col>1</xdr:col>
      <xdr:colOff>190500</xdr:colOff>
      <xdr:row>23</xdr:row>
      <xdr:rowOff>66675</xdr:rowOff>
    </xdr:from>
    <xdr:to>
      <xdr:col>5</xdr:col>
      <xdr:colOff>1285875</xdr:colOff>
      <xdr:row>39</xdr:row>
      <xdr:rowOff>85725</xdr:rowOff>
    </xdr:to>
    <xdr:graphicFrame macro="">
      <xdr:nvGraphicFramePr>
        <xdr:cNvPr id="2116735"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171450</xdr:colOff>
      <xdr:row>40</xdr:row>
      <xdr:rowOff>123825</xdr:rowOff>
    </xdr:from>
    <xdr:to>
      <xdr:col>5</xdr:col>
      <xdr:colOff>1304925</xdr:colOff>
      <xdr:row>58</xdr:row>
      <xdr:rowOff>114300</xdr:rowOff>
    </xdr:to>
    <xdr:graphicFrame macro="">
      <xdr:nvGraphicFramePr>
        <xdr:cNvPr id="2116736"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133350</xdr:colOff>
      <xdr:row>59</xdr:row>
      <xdr:rowOff>123825</xdr:rowOff>
    </xdr:from>
    <xdr:to>
      <xdr:col>5</xdr:col>
      <xdr:colOff>1314450</xdr:colOff>
      <xdr:row>76</xdr:row>
      <xdr:rowOff>123825</xdr:rowOff>
    </xdr:to>
    <xdr:graphicFrame macro="">
      <xdr:nvGraphicFramePr>
        <xdr:cNvPr id="2116737"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77</xdr:row>
      <xdr:rowOff>85725</xdr:rowOff>
    </xdr:from>
    <xdr:to>
      <xdr:col>5</xdr:col>
      <xdr:colOff>1323975</xdr:colOff>
      <xdr:row>95</xdr:row>
      <xdr:rowOff>114300</xdr:rowOff>
    </xdr:to>
    <xdr:graphicFrame macro="">
      <xdr:nvGraphicFramePr>
        <xdr:cNvPr id="2116738" name="Диаграмма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114300</xdr:colOff>
      <xdr:row>96</xdr:row>
      <xdr:rowOff>95250</xdr:rowOff>
    </xdr:from>
    <xdr:to>
      <xdr:col>5</xdr:col>
      <xdr:colOff>1352550</xdr:colOff>
      <xdr:row>115</xdr:row>
      <xdr:rowOff>123825</xdr:rowOff>
    </xdr:to>
    <xdr:graphicFrame macro="">
      <xdr:nvGraphicFramePr>
        <xdr:cNvPr id="2116739" name="Диаграмма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133350</xdr:colOff>
      <xdr:row>116</xdr:row>
      <xdr:rowOff>104775</xdr:rowOff>
    </xdr:from>
    <xdr:to>
      <xdr:col>6</xdr:col>
      <xdr:colOff>9525</xdr:colOff>
      <xdr:row>135</xdr:row>
      <xdr:rowOff>76200</xdr:rowOff>
    </xdr:to>
    <xdr:graphicFrame macro="">
      <xdr:nvGraphicFramePr>
        <xdr:cNvPr id="2116740" name="Диаграмма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123825</xdr:colOff>
      <xdr:row>136</xdr:row>
      <xdr:rowOff>57150</xdr:rowOff>
    </xdr:from>
    <xdr:to>
      <xdr:col>6</xdr:col>
      <xdr:colOff>28575</xdr:colOff>
      <xdr:row>155</xdr:row>
      <xdr:rowOff>85725</xdr:rowOff>
    </xdr:to>
    <xdr:graphicFrame macro="">
      <xdr:nvGraphicFramePr>
        <xdr:cNvPr id="2116741" name="Диаграмма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133350</xdr:colOff>
      <xdr:row>156</xdr:row>
      <xdr:rowOff>114300</xdr:rowOff>
    </xdr:from>
    <xdr:to>
      <xdr:col>6</xdr:col>
      <xdr:colOff>47625</xdr:colOff>
      <xdr:row>175</xdr:row>
      <xdr:rowOff>0</xdr:rowOff>
    </xdr:to>
    <xdr:graphicFrame macro="">
      <xdr:nvGraphicFramePr>
        <xdr:cNvPr id="2116742" name="Диаграмма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0</xdr:row>
          <xdr:rowOff>85725</xdr:rowOff>
        </xdr:from>
        <xdr:to>
          <xdr:col>4</xdr:col>
          <xdr:colOff>752475</xdr:colOff>
          <xdr:row>2</xdr:row>
          <xdr:rowOff>0</xdr:rowOff>
        </xdr:to>
        <xdr:sp macro="" textlink="">
          <xdr:nvSpPr>
            <xdr:cNvPr id="15380" name="Drop Down 20" hidden="1">
              <a:extLst>
                <a:ext uri="{63B3BB69-23CF-44E3-9099-C40C66FF867C}">
                  <a14:compatExt spid="_x0000_s15380"/>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1876425</xdr:colOff>
          <xdr:row>1</xdr:row>
          <xdr:rowOff>28575</xdr:rowOff>
        </xdr:from>
        <xdr:to>
          <xdr:col>2</xdr:col>
          <xdr:colOff>9525</xdr:colOff>
          <xdr:row>2</xdr:row>
          <xdr:rowOff>85725</xdr:rowOff>
        </xdr:to>
        <xdr:sp macro="" textlink="">
          <xdr:nvSpPr>
            <xdr:cNvPr id="22593" name="Drop Down 65" hidden="1">
              <a:extLst>
                <a:ext uri="{63B3BB69-23CF-44E3-9099-C40C66FF867C}">
                  <a14:compatExt spid="_x0000_s22593"/>
                </a:ext>
              </a:extLst>
            </xdr:cNvPr>
            <xdr:cNvSpPr/>
          </xdr:nvSpPr>
          <xdr:spPr>
            <a:xfrm>
              <a:off x="0" y="0"/>
              <a:ext cx="0" cy="0"/>
            </a:xfrm>
            <a:prstGeom prst="rect">
              <a:avLst/>
            </a:prstGeom>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1838325</xdr:colOff>
          <xdr:row>1</xdr:row>
          <xdr:rowOff>38100</xdr:rowOff>
        </xdr:from>
        <xdr:to>
          <xdr:col>2</xdr:col>
          <xdr:colOff>9525</xdr:colOff>
          <xdr:row>2</xdr:row>
          <xdr:rowOff>95250</xdr:rowOff>
        </xdr:to>
        <xdr:sp macro="" textlink="">
          <xdr:nvSpPr>
            <xdr:cNvPr id="23577" name="Drop Down 25" hidden="1">
              <a:extLst>
                <a:ext uri="{63B3BB69-23CF-44E3-9099-C40C66FF867C}">
                  <a14:compatExt spid="_x0000_s23577"/>
                </a:ext>
              </a:extLst>
            </xdr:cNvPr>
            <xdr:cNvSpPr/>
          </xdr:nvSpPr>
          <xdr:spPr>
            <a:xfrm>
              <a:off x="0" y="0"/>
              <a:ext cx="0" cy="0"/>
            </a:xfrm>
            <a:prstGeom prst="rect">
              <a:avLst/>
            </a:prstGeom>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9525</xdr:rowOff>
        </xdr:from>
        <xdr:to>
          <xdr:col>2</xdr:col>
          <xdr:colOff>847725</xdr:colOff>
          <xdr:row>4</xdr:row>
          <xdr:rowOff>66675</xdr:rowOff>
        </xdr:to>
        <xdr:sp macro="" textlink="">
          <xdr:nvSpPr>
            <xdr:cNvPr id="1931265" name="Drop Down 1" hidden="1">
              <a:extLst>
                <a:ext uri="{63B3BB69-23CF-44E3-9099-C40C66FF867C}">
                  <a14:compatExt spid="_x0000_s1931265"/>
                </a:ext>
              </a:extLst>
            </xdr:cNvPr>
            <xdr:cNvSpPr/>
          </xdr:nvSpPr>
          <xdr:spPr>
            <a:xfrm>
              <a:off x="0" y="0"/>
              <a:ext cx="0" cy="0"/>
            </a:xfrm>
            <a:prstGeom prst="rect">
              <a:avLst/>
            </a:prstGeom>
          </xdr:spPr>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9525</xdr:rowOff>
        </xdr:from>
        <xdr:to>
          <xdr:col>1</xdr:col>
          <xdr:colOff>742950</xdr:colOff>
          <xdr:row>3</xdr:row>
          <xdr:rowOff>66675</xdr:rowOff>
        </xdr:to>
        <xdr:sp macro="" textlink="">
          <xdr:nvSpPr>
            <xdr:cNvPr id="21509" name="Drop Down 5" hidden="1">
              <a:extLst>
                <a:ext uri="{63B3BB69-23CF-44E3-9099-C40C66FF867C}">
                  <a14:compatExt spid="_x0000_s21509"/>
                </a:ext>
              </a:extLst>
            </xdr:cNvPr>
            <xdr:cNvSpPr/>
          </xdr:nvSpPr>
          <xdr:spPr>
            <a:xfrm>
              <a:off x="0" y="0"/>
              <a:ext cx="0" cy="0"/>
            </a:xfrm>
            <a:prstGeom prst="rect">
              <a:avLst/>
            </a:prstGeom>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95250</xdr:rowOff>
        </xdr:from>
        <xdr:to>
          <xdr:col>1</xdr:col>
          <xdr:colOff>800100</xdr:colOff>
          <xdr:row>2</xdr:row>
          <xdr:rowOff>9525</xdr:rowOff>
        </xdr:to>
        <xdr:sp macro="" textlink="">
          <xdr:nvSpPr>
            <xdr:cNvPr id="621574" name="Drop Down 6" hidden="1">
              <a:extLst>
                <a:ext uri="{63B3BB69-23CF-44E3-9099-C40C66FF867C}">
                  <a14:compatExt spid="_x0000_s621574"/>
                </a:ext>
              </a:extLst>
            </xdr:cNvPr>
            <xdr:cNvSpPr/>
          </xdr:nvSpPr>
          <xdr:spPr>
            <a:xfrm>
              <a:off x="0" y="0"/>
              <a:ext cx="0" cy="0"/>
            </a:xfrm>
            <a:prstGeom prst="rect">
              <a:avLst/>
            </a:prstGeom>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0</xdr:row>
          <xdr:rowOff>114300</xdr:rowOff>
        </xdr:from>
        <xdr:to>
          <xdr:col>2</xdr:col>
          <xdr:colOff>895350</xdr:colOff>
          <xdr:row>2</xdr:row>
          <xdr:rowOff>28575</xdr:rowOff>
        </xdr:to>
        <xdr:sp macro="" textlink="">
          <xdr:nvSpPr>
            <xdr:cNvPr id="20484" name="Drop Down 4" hidden="1">
              <a:extLst>
                <a:ext uri="{63B3BB69-23CF-44E3-9099-C40C66FF867C}">
                  <a14:compatExt spid="_x0000_s20484"/>
                </a:ext>
              </a:extLst>
            </xdr:cNvPr>
            <xdr:cNvSpPr/>
          </xdr:nvSpPr>
          <xdr:spPr>
            <a:xfrm>
              <a:off x="0" y="0"/>
              <a:ext cx="0" cy="0"/>
            </a:xfrm>
            <a:prstGeom prst="rect">
              <a:avLst/>
            </a:prstGeom>
          </xdr:spPr>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37</xdr:row>
          <xdr:rowOff>38100</xdr:rowOff>
        </xdr:from>
        <xdr:to>
          <xdr:col>0</xdr:col>
          <xdr:colOff>333375</xdr:colOff>
          <xdr:row>39</xdr:row>
          <xdr:rowOff>114300</xdr:rowOff>
        </xdr:to>
        <xdr:sp macro="" textlink="">
          <xdr:nvSpPr>
            <xdr:cNvPr id="1940481" name="Check Box 1" hidden="1">
              <a:extLst>
                <a:ext uri="{63B3BB69-23CF-44E3-9099-C40C66FF867C}">
                  <a14:compatExt spid="_x0000_s194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95250</xdr:rowOff>
        </xdr:from>
        <xdr:to>
          <xdr:col>2</xdr:col>
          <xdr:colOff>257175</xdr:colOff>
          <xdr:row>39</xdr:row>
          <xdr:rowOff>66675</xdr:rowOff>
        </xdr:to>
        <xdr:sp macro="" textlink="">
          <xdr:nvSpPr>
            <xdr:cNvPr id="1940482" name="Check Box 2" hidden="1">
              <a:extLst>
                <a:ext uri="{63B3BB69-23CF-44E3-9099-C40C66FF867C}">
                  <a14:compatExt spid="_x0000_s194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37</xdr:row>
          <xdr:rowOff>85725</xdr:rowOff>
        </xdr:from>
        <xdr:to>
          <xdr:col>4</xdr:col>
          <xdr:colOff>476250</xdr:colOff>
          <xdr:row>39</xdr:row>
          <xdr:rowOff>57150</xdr:rowOff>
        </xdr:to>
        <xdr:sp macro="" textlink="">
          <xdr:nvSpPr>
            <xdr:cNvPr id="1940483" name="Check Box 3" hidden="1">
              <a:extLst>
                <a:ext uri="{63B3BB69-23CF-44E3-9099-C40C66FF867C}">
                  <a14:compatExt spid="_x0000_s194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0</xdr:row>
          <xdr:rowOff>104775</xdr:rowOff>
        </xdr:from>
        <xdr:to>
          <xdr:col>5</xdr:col>
          <xdr:colOff>200025</xdr:colOff>
          <xdr:row>2</xdr:row>
          <xdr:rowOff>38100</xdr:rowOff>
        </xdr:to>
        <xdr:sp macro="" textlink="">
          <xdr:nvSpPr>
            <xdr:cNvPr id="1940502" name="Drop Down 22" hidden="1">
              <a:extLst>
                <a:ext uri="{63B3BB69-23CF-44E3-9099-C40C66FF867C}">
                  <a14:compatExt spid="_x0000_s194050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rmat/&#1052;&#1086;&#1080;%20&#1076;&#1086;&#1082;&#1091;&#1084;&#1077;&#1085;&#1090;&#1099;/CLIENTS/Akkreditiv/General%20Portfolio%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PORTS/LENDERS/BLUEORCHARD/31%2008%202013_BO%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
      <sheetName val="1Q"/>
      <sheetName val="diagrams"/>
      <sheetName val="Лист1"/>
    </sheetNames>
    <sheetDataSet>
      <sheetData sheetId="0" refreshError="1"/>
      <sheetData sheetId="1">
        <row r="1">
          <cell r="A1" t="str">
            <v>Branch performance weekly portfolio reports</v>
          </cell>
        </row>
        <row r="2">
          <cell r="A2" t="str">
            <v>Период: 01.01.2006 - 31.03.2006 гг.</v>
          </cell>
        </row>
        <row r="3">
          <cell r="A3" t="str">
            <v>Фонд: Kompanion</v>
          </cell>
          <cell r="I3" t="str">
            <v>Currency:</v>
          </cell>
          <cell r="J3" t="str">
            <v>USD</v>
          </cell>
        </row>
        <row r="5">
          <cell r="A5" t="str">
            <v>Portfolio data   GROUP LOANS</v>
          </cell>
          <cell r="B5" t="str">
            <v>Bishkek</v>
          </cell>
          <cell r="C5" t="str">
            <v>Osh</v>
          </cell>
          <cell r="D5" t="str">
            <v>Jalalabad</v>
          </cell>
          <cell r="E5" t="str">
            <v>Batken</v>
          </cell>
          <cell r="F5" t="str">
            <v>Naryn</v>
          </cell>
          <cell r="G5" t="str">
            <v>Balykchy</v>
          </cell>
          <cell r="H5" t="str">
            <v>Talas</v>
          </cell>
          <cell r="I5" t="str">
            <v>Karakol</v>
          </cell>
          <cell r="J5" t="str">
            <v>Total</v>
          </cell>
        </row>
        <row r="6">
          <cell r="A6" t="str">
            <v>Total value of loans disbursed during the period</v>
          </cell>
          <cell r="B6">
            <v>0</v>
          </cell>
          <cell r="C6">
            <v>108542.852</v>
          </cell>
          <cell r="D6">
            <v>256860.82089999999</v>
          </cell>
          <cell r="E6">
            <v>300291.98070000001</v>
          </cell>
          <cell r="F6">
            <v>303679.24670000002</v>
          </cell>
          <cell r="G6">
            <v>392671.71990000003</v>
          </cell>
          <cell r="H6">
            <v>609642.61369999999</v>
          </cell>
          <cell r="I6">
            <v>415637.40250000003</v>
          </cell>
          <cell r="J6">
            <v>2387326.6364000002</v>
          </cell>
        </row>
        <row r="7">
          <cell r="A7" t="str">
            <v>Total number of loans disbursed during the period</v>
          </cell>
          <cell r="B7">
            <v>0</v>
          </cell>
          <cell r="C7">
            <v>419</v>
          </cell>
          <cell r="D7">
            <v>968</v>
          </cell>
          <cell r="E7">
            <v>890</v>
          </cell>
          <cell r="F7">
            <v>835</v>
          </cell>
          <cell r="G7">
            <v>1258</v>
          </cell>
          <cell r="H7">
            <v>1271</v>
          </cell>
          <cell r="I7">
            <v>1151</v>
          </cell>
          <cell r="J7">
            <v>6792</v>
          </cell>
        </row>
        <row r="8">
          <cell r="A8" t="str">
            <v>Number of active groups (end of period)</v>
          </cell>
          <cell r="B8">
            <v>0</v>
          </cell>
          <cell r="C8">
            <v>169</v>
          </cell>
          <cell r="D8">
            <v>348</v>
          </cell>
          <cell r="E8">
            <v>435</v>
          </cell>
          <cell r="F8">
            <v>260</v>
          </cell>
          <cell r="G8">
            <v>471</v>
          </cell>
          <cell r="H8">
            <v>456</v>
          </cell>
          <cell r="I8">
            <v>496</v>
          </cell>
          <cell r="J8">
            <v>2635</v>
          </cell>
        </row>
        <row r="9">
          <cell r="A9" t="str">
            <v>Number of active clients (end of period)</v>
          </cell>
          <cell r="B9">
            <v>0</v>
          </cell>
          <cell r="C9">
            <v>861</v>
          </cell>
          <cell r="D9">
            <v>1707</v>
          </cell>
          <cell r="E9">
            <v>2116</v>
          </cell>
          <cell r="F9">
            <v>1244</v>
          </cell>
          <cell r="G9">
            <v>2340</v>
          </cell>
          <cell r="H9">
            <v>2448</v>
          </cell>
          <cell r="I9">
            <v>2492</v>
          </cell>
          <cell r="J9">
            <v>13208</v>
          </cell>
        </row>
        <row r="10">
          <cell r="A10" t="str">
            <v>Value of loans outstanding (end of period)</v>
          </cell>
          <cell r="B10">
            <v>0</v>
          </cell>
          <cell r="C10">
            <v>149935.19699999999</v>
          </cell>
          <cell r="D10">
            <v>315387.04489999998</v>
          </cell>
          <cell r="E10">
            <v>432836.73619999998</v>
          </cell>
          <cell r="F10">
            <v>320173.03520000004</v>
          </cell>
          <cell r="G10">
            <v>457041.6801</v>
          </cell>
          <cell r="H10">
            <v>788375.88050000009</v>
          </cell>
          <cell r="I10">
            <v>606982.80359999998</v>
          </cell>
          <cell r="J10">
            <v>3070732.3775000004</v>
          </cell>
        </row>
        <row r="11">
          <cell r="A11" t="str">
            <v>Value of payments in arrears (end of period)</v>
          </cell>
          <cell r="B11">
            <v>0</v>
          </cell>
          <cell r="C11">
            <v>0</v>
          </cell>
          <cell r="D11">
            <v>362.22500000000002</v>
          </cell>
          <cell r="E11">
            <v>0</v>
          </cell>
          <cell r="F11">
            <v>0</v>
          </cell>
          <cell r="G11">
            <v>1821.4954</v>
          </cell>
          <cell r="H11">
            <v>1988.0423000000001</v>
          </cell>
          <cell r="I11">
            <v>7005.13</v>
          </cell>
          <cell r="J11">
            <v>11176.8927</v>
          </cell>
        </row>
        <row r="12">
          <cell r="A12" t="str">
            <v>Number of groups in arrears (end of period)</v>
          </cell>
          <cell r="B12">
            <v>0</v>
          </cell>
          <cell r="C12">
            <v>0</v>
          </cell>
          <cell r="D12">
            <v>2</v>
          </cell>
          <cell r="E12">
            <v>0</v>
          </cell>
          <cell r="F12">
            <v>0</v>
          </cell>
          <cell r="G12">
            <v>2</v>
          </cell>
          <cell r="H12">
            <v>3</v>
          </cell>
          <cell r="I12">
            <v>8</v>
          </cell>
          <cell r="J12">
            <v>15</v>
          </cell>
        </row>
        <row r="13">
          <cell r="A13" t="str">
            <v>Number of clients in arrears (end of period)</v>
          </cell>
          <cell r="B13">
            <v>0</v>
          </cell>
          <cell r="C13">
            <v>0</v>
          </cell>
          <cell r="D13">
            <v>9</v>
          </cell>
          <cell r="E13">
            <v>0</v>
          </cell>
          <cell r="F13">
            <v>0</v>
          </cell>
          <cell r="G13">
            <v>8</v>
          </cell>
          <cell r="H13">
            <v>18</v>
          </cell>
          <cell r="I13">
            <v>35</v>
          </cell>
          <cell r="J13">
            <v>70</v>
          </cell>
        </row>
        <row r="14">
          <cell r="A14" t="str">
            <v xml:space="preserve">Value of loan outstanding in arrears </v>
          </cell>
          <cell r="B14">
            <v>0</v>
          </cell>
          <cell r="C14">
            <v>0</v>
          </cell>
          <cell r="D14">
            <v>503.26</v>
          </cell>
          <cell r="E14">
            <v>0</v>
          </cell>
          <cell r="F14">
            <v>0</v>
          </cell>
          <cell r="G14">
            <v>1821.4954</v>
          </cell>
          <cell r="H14">
            <v>1988.0423000000001</v>
          </cell>
          <cell r="I14">
            <v>12059.05</v>
          </cell>
          <cell r="J14">
            <v>16371.847699999998</v>
          </cell>
        </row>
        <row r="15">
          <cell r="A15" t="str">
            <v>Portfolio-at-risk delinquency rate</v>
          </cell>
          <cell r="B15">
            <v>0</v>
          </cell>
          <cell r="C15">
            <v>0</v>
          </cell>
          <cell r="D15">
            <v>1.5956901468783191E-3</v>
          </cell>
          <cell r="E15">
            <v>0</v>
          </cell>
          <cell r="F15">
            <v>0</v>
          </cell>
          <cell r="G15">
            <v>3.9854032560038277E-3</v>
          </cell>
          <cell r="H15">
            <v>2.5216934576171371E-3</v>
          </cell>
          <cell r="I15">
            <v>1.986720205000549E-2</v>
          </cell>
          <cell r="J15">
            <v>5.3315775155010217E-3</v>
          </cell>
        </row>
        <row r="16">
          <cell r="A16" t="str">
            <v>Number of loan officers (end of period)</v>
          </cell>
          <cell r="B16">
            <v>0</v>
          </cell>
          <cell r="C16">
            <v>5</v>
          </cell>
          <cell r="D16">
            <v>7</v>
          </cell>
          <cell r="E16">
            <v>7</v>
          </cell>
          <cell r="F16">
            <v>5</v>
          </cell>
          <cell r="G16">
            <v>9</v>
          </cell>
          <cell r="H16">
            <v>6</v>
          </cell>
          <cell r="I16">
            <v>10</v>
          </cell>
          <cell r="J16">
            <v>49</v>
          </cell>
        </row>
        <row r="17">
          <cell r="A17" t="str">
            <v>Average number of active clients per loan officer (end of period)</v>
          </cell>
          <cell r="B17">
            <v>0</v>
          </cell>
          <cell r="C17">
            <v>172.2</v>
          </cell>
          <cell r="D17">
            <v>243.85714285714286</v>
          </cell>
          <cell r="E17">
            <v>302.28571428571428</v>
          </cell>
          <cell r="F17">
            <v>248.8</v>
          </cell>
          <cell r="G17">
            <v>260</v>
          </cell>
          <cell r="H17">
            <v>408</v>
          </cell>
          <cell r="I17">
            <v>249.2</v>
          </cell>
          <cell r="J17">
            <v>269.55102040816325</v>
          </cell>
        </row>
        <row r="18">
          <cell r="A18" t="str">
            <v>Average portfolio outstanding per loan officer (end of period)</v>
          </cell>
          <cell r="B18">
            <v>0</v>
          </cell>
          <cell r="C18">
            <v>29987.039399999998</v>
          </cell>
          <cell r="D18">
            <v>45055.292128571426</v>
          </cell>
          <cell r="E18">
            <v>61833.819457142854</v>
          </cell>
          <cell r="F18">
            <v>64034.60704000001</v>
          </cell>
          <cell r="G18">
            <v>50782.408900000002</v>
          </cell>
          <cell r="H18">
            <v>131395.98008333336</v>
          </cell>
          <cell r="I18">
            <v>60698.280359999997</v>
          </cell>
          <cell r="J18">
            <v>62668.00770408164</v>
          </cell>
        </row>
        <row r="20">
          <cell r="A20" t="str">
            <v>Portfolio data   SME LOANS</v>
          </cell>
          <cell r="B20" t="str">
            <v>Bishkek</v>
          </cell>
          <cell r="C20" t="str">
            <v>Osh</v>
          </cell>
          <cell r="D20" t="str">
            <v>Jalalabad</v>
          </cell>
          <cell r="E20" t="str">
            <v>Batken</v>
          </cell>
          <cell r="F20" t="str">
            <v>Naryn</v>
          </cell>
          <cell r="G20" t="str">
            <v>Balykchy</v>
          </cell>
          <cell r="H20" t="str">
            <v>Talas</v>
          </cell>
          <cell r="I20" t="str">
            <v>Karakol</v>
          </cell>
          <cell r="J20" t="str">
            <v>Total</v>
          </cell>
        </row>
        <row r="21">
          <cell r="A21" t="str">
            <v>Total value of loans disbursed during the period</v>
          </cell>
          <cell r="B21">
            <v>272281.65500000003</v>
          </cell>
          <cell r="C21">
            <v>202307.8076</v>
          </cell>
          <cell r="D21">
            <v>36980.997100000001</v>
          </cell>
          <cell r="E21">
            <v>4834.1172999999999</v>
          </cell>
          <cell r="F21">
            <v>0</v>
          </cell>
          <cell r="G21">
            <v>0</v>
          </cell>
          <cell r="H21">
            <v>0</v>
          </cell>
          <cell r="I21">
            <v>0</v>
          </cell>
          <cell r="J21">
            <v>516404.57699999999</v>
          </cell>
        </row>
        <row r="22">
          <cell r="A22" t="str">
            <v>Total number of loans disbursed during the period</v>
          </cell>
          <cell r="B22">
            <v>25</v>
          </cell>
          <cell r="C22">
            <v>25</v>
          </cell>
          <cell r="D22">
            <v>8</v>
          </cell>
          <cell r="E22">
            <v>2</v>
          </cell>
          <cell r="F22">
            <v>0</v>
          </cell>
          <cell r="G22">
            <v>0</v>
          </cell>
          <cell r="H22">
            <v>0</v>
          </cell>
          <cell r="I22">
            <v>0</v>
          </cell>
          <cell r="J22">
            <v>60</v>
          </cell>
        </row>
        <row r="23">
          <cell r="A23" t="str">
            <v>Number of active clients (end of period)</v>
          </cell>
          <cell r="B23">
            <v>62</v>
          </cell>
          <cell r="C23">
            <v>83</v>
          </cell>
          <cell r="D23">
            <v>39</v>
          </cell>
          <cell r="E23">
            <v>2</v>
          </cell>
          <cell r="F23">
            <v>0</v>
          </cell>
          <cell r="G23">
            <v>0</v>
          </cell>
          <cell r="H23">
            <v>0</v>
          </cell>
          <cell r="I23">
            <v>0</v>
          </cell>
          <cell r="J23">
            <v>186</v>
          </cell>
        </row>
        <row r="24">
          <cell r="A24" t="str">
            <v>Value of loans outstanding (end of period)</v>
          </cell>
          <cell r="B24">
            <v>445966.2893</v>
          </cell>
          <cell r="C24">
            <v>326437.09999999998</v>
          </cell>
          <cell r="D24">
            <v>68971.34</v>
          </cell>
          <cell r="E24">
            <v>4506.0619999999999</v>
          </cell>
          <cell r="F24">
            <v>0</v>
          </cell>
          <cell r="G24">
            <v>0</v>
          </cell>
          <cell r="H24">
            <v>0</v>
          </cell>
          <cell r="I24">
            <v>0</v>
          </cell>
          <cell r="J24">
            <v>845880.79129999992</v>
          </cell>
        </row>
        <row r="25">
          <cell r="A25" t="str">
            <v>Value of payments in arrears (end of period)</v>
          </cell>
          <cell r="B25">
            <v>270.81</v>
          </cell>
          <cell r="C25">
            <v>0</v>
          </cell>
          <cell r="D25">
            <v>2566.33</v>
          </cell>
          <cell r="E25">
            <v>0</v>
          </cell>
          <cell r="F25">
            <v>0</v>
          </cell>
          <cell r="G25">
            <v>0</v>
          </cell>
          <cell r="H25">
            <v>0</v>
          </cell>
          <cell r="I25">
            <v>0</v>
          </cell>
          <cell r="J25">
            <v>2837.14</v>
          </cell>
        </row>
        <row r="26">
          <cell r="A26" t="str">
            <v>Number of clients in arrears (end of period)</v>
          </cell>
          <cell r="B26">
            <v>1</v>
          </cell>
          <cell r="C26">
            <v>0</v>
          </cell>
          <cell r="D26">
            <v>2</v>
          </cell>
          <cell r="E26">
            <v>0</v>
          </cell>
          <cell r="F26">
            <v>0</v>
          </cell>
          <cell r="G26">
            <v>0</v>
          </cell>
          <cell r="H26">
            <v>0</v>
          </cell>
          <cell r="I26">
            <v>0</v>
          </cell>
          <cell r="J26">
            <v>3</v>
          </cell>
        </row>
        <row r="27">
          <cell r="A27" t="str">
            <v xml:space="preserve">Value of loan outstanding in arrears </v>
          </cell>
          <cell r="B27">
            <v>270.81</v>
          </cell>
          <cell r="C27">
            <v>0</v>
          </cell>
          <cell r="D27">
            <v>3792</v>
          </cell>
          <cell r="E27">
            <v>0</v>
          </cell>
          <cell r="F27">
            <v>0</v>
          </cell>
          <cell r="G27">
            <v>0</v>
          </cell>
          <cell r="H27">
            <v>0</v>
          </cell>
          <cell r="I27">
            <v>0</v>
          </cell>
          <cell r="J27">
            <v>4062.81</v>
          </cell>
        </row>
        <row r="28">
          <cell r="A28" t="str">
            <v xml:space="preserve">Portfolio-at-risk delinquency rate </v>
          </cell>
          <cell r="B28">
            <v>6.0724320760896576E-4</v>
          </cell>
          <cell r="C28">
            <v>0</v>
          </cell>
          <cell r="D28">
            <v>5.4979358092796228E-2</v>
          </cell>
          <cell r="E28">
            <v>0</v>
          </cell>
          <cell r="F28">
            <v>0</v>
          </cell>
          <cell r="G28">
            <v>0</v>
          </cell>
          <cell r="H28">
            <v>0</v>
          </cell>
          <cell r="I28">
            <v>0</v>
          </cell>
          <cell r="J28">
            <v>4.8030526780919467E-3</v>
          </cell>
        </row>
        <row r="29">
          <cell r="A29" t="str">
            <v>Number of loan officers (end of period)</v>
          </cell>
          <cell r="B29">
            <v>2</v>
          </cell>
          <cell r="C29">
            <v>3</v>
          </cell>
          <cell r="D29">
            <v>1</v>
          </cell>
          <cell r="E29">
            <v>1</v>
          </cell>
          <cell r="F29">
            <v>0</v>
          </cell>
          <cell r="G29">
            <v>0</v>
          </cell>
          <cell r="H29">
            <v>0</v>
          </cell>
          <cell r="I29">
            <v>0</v>
          </cell>
          <cell r="J29">
            <v>7</v>
          </cell>
        </row>
        <row r="30">
          <cell r="A30" t="str">
            <v>Average number of active clients per loan officer (end of period)</v>
          </cell>
          <cell r="B30">
            <v>31</v>
          </cell>
          <cell r="C30">
            <v>27.666666666666668</v>
          </cell>
          <cell r="D30">
            <v>39</v>
          </cell>
          <cell r="E30">
            <v>2</v>
          </cell>
          <cell r="F30">
            <v>0</v>
          </cell>
          <cell r="G30">
            <v>0</v>
          </cell>
          <cell r="H30">
            <v>0</v>
          </cell>
          <cell r="I30">
            <v>0</v>
          </cell>
          <cell r="J30">
            <v>26.571428571428573</v>
          </cell>
        </row>
        <row r="31">
          <cell r="A31" t="str">
            <v>Average portfolio outstanding per loan officer (end of period)</v>
          </cell>
          <cell r="B31">
            <v>222983.14465</v>
          </cell>
          <cell r="C31">
            <v>108812.36666666665</v>
          </cell>
          <cell r="D31">
            <v>68971.34</v>
          </cell>
          <cell r="E31">
            <v>4506.0619999999999</v>
          </cell>
          <cell r="F31">
            <v>0</v>
          </cell>
          <cell r="G31">
            <v>0</v>
          </cell>
          <cell r="H31">
            <v>0</v>
          </cell>
          <cell r="I31">
            <v>0</v>
          </cell>
          <cell r="J31">
            <v>120840.11304285713</v>
          </cell>
        </row>
        <row r="33">
          <cell r="A33" t="str">
            <v>Portfolio data   Unsecured LOANS</v>
          </cell>
          <cell r="B33" t="str">
            <v>Bishkek</v>
          </cell>
          <cell r="C33" t="str">
            <v>Osh</v>
          </cell>
          <cell r="D33" t="str">
            <v>Jalalabad</v>
          </cell>
          <cell r="E33" t="str">
            <v>Batken</v>
          </cell>
          <cell r="F33" t="str">
            <v>Naryn</v>
          </cell>
          <cell r="G33" t="str">
            <v>Balykchy</v>
          </cell>
          <cell r="H33" t="str">
            <v>Talas</v>
          </cell>
          <cell r="I33" t="str">
            <v>Karakol</v>
          </cell>
          <cell r="J33" t="str">
            <v>Total</v>
          </cell>
        </row>
        <row r="34">
          <cell r="A34" t="str">
            <v>Total value of loans disbursed during the period</v>
          </cell>
          <cell r="B34">
            <v>0</v>
          </cell>
          <cell r="C34">
            <v>0</v>
          </cell>
          <cell r="D34">
            <v>0</v>
          </cell>
          <cell r="E34">
            <v>0</v>
          </cell>
          <cell r="F34">
            <v>0</v>
          </cell>
          <cell r="G34">
            <v>6646.9111999999996</v>
          </cell>
          <cell r="H34">
            <v>0</v>
          </cell>
          <cell r="I34">
            <v>4737.4349000000002</v>
          </cell>
          <cell r="J34">
            <v>11384.346099999999</v>
          </cell>
        </row>
        <row r="35">
          <cell r="A35" t="str">
            <v>Total number of loans disbursed during the period</v>
          </cell>
          <cell r="B35">
            <v>0</v>
          </cell>
          <cell r="C35">
            <v>0</v>
          </cell>
          <cell r="D35">
            <v>0</v>
          </cell>
          <cell r="E35">
            <v>0</v>
          </cell>
          <cell r="F35">
            <v>0</v>
          </cell>
          <cell r="G35">
            <v>7</v>
          </cell>
          <cell r="H35">
            <v>0</v>
          </cell>
          <cell r="I35">
            <v>4</v>
          </cell>
          <cell r="J35">
            <v>11</v>
          </cell>
        </row>
        <row r="36">
          <cell r="A36" t="str">
            <v>Number of active clients (end of period)</v>
          </cell>
          <cell r="B36">
            <v>0</v>
          </cell>
          <cell r="C36">
            <v>0</v>
          </cell>
          <cell r="D36">
            <v>0</v>
          </cell>
          <cell r="E36">
            <v>0</v>
          </cell>
          <cell r="F36">
            <v>0</v>
          </cell>
          <cell r="G36">
            <v>7</v>
          </cell>
          <cell r="H36">
            <v>0</v>
          </cell>
          <cell r="I36">
            <v>4</v>
          </cell>
          <cell r="J36">
            <v>11</v>
          </cell>
        </row>
        <row r="37">
          <cell r="A37" t="str">
            <v>Value of loans outstanding (end of period)</v>
          </cell>
          <cell r="B37">
            <v>0</v>
          </cell>
          <cell r="C37">
            <v>0</v>
          </cell>
          <cell r="D37">
            <v>0</v>
          </cell>
          <cell r="E37">
            <v>0</v>
          </cell>
          <cell r="F37">
            <v>0</v>
          </cell>
          <cell r="G37">
            <v>5610.6383999999998</v>
          </cell>
          <cell r="H37">
            <v>0</v>
          </cell>
          <cell r="I37">
            <v>3936.3355999999999</v>
          </cell>
          <cell r="J37">
            <v>9546.9740000000002</v>
          </cell>
        </row>
        <row r="38">
          <cell r="A38" t="str">
            <v>Value of payments in arrears (end of period)</v>
          </cell>
          <cell r="B38">
            <v>0</v>
          </cell>
          <cell r="C38">
            <v>0</v>
          </cell>
          <cell r="D38">
            <v>0</v>
          </cell>
          <cell r="E38">
            <v>0</v>
          </cell>
          <cell r="F38">
            <v>0</v>
          </cell>
          <cell r="G38">
            <v>0</v>
          </cell>
          <cell r="H38">
            <v>0</v>
          </cell>
          <cell r="I38">
            <v>0</v>
          </cell>
          <cell r="J38">
            <v>0</v>
          </cell>
        </row>
        <row r="39">
          <cell r="A39" t="str">
            <v>Number of clients in arrears (end of period)</v>
          </cell>
          <cell r="B39">
            <v>0</v>
          </cell>
          <cell r="C39">
            <v>0</v>
          </cell>
          <cell r="D39">
            <v>0</v>
          </cell>
          <cell r="E39">
            <v>0</v>
          </cell>
          <cell r="F39">
            <v>0</v>
          </cell>
          <cell r="G39">
            <v>0</v>
          </cell>
          <cell r="H39">
            <v>0</v>
          </cell>
          <cell r="I39">
            <v>0</v>
          </cell>
          <cell r="J39">
            <v>0</v>
          </cell>
        </row>
        <row r="40">
          <cell r="A40" t="str">
            <v xml:space="preserve">Value of loan outstanding in arrears </v>
          </cell>
          <cell r="B40">
            <v>0</v>
          </cell>
          <cell r="C40">
            <v>0</v>
          </cell>
          <cell r="D40">
            <v>0</v>
          </cell>
          <cell r="E40">
            <v>0</v>
          </cell>
          <cell r="F40">
            <v>0</v>
          </cell>
          <cell r="G40">
            <v>0</v>
          </cell>
          <cell r="H40">
            <v>0</v>
          </cell>
          <cell r="I40">
            <v>0</v>
          </cell>
          <cell r="J40">
            <v>0</v>
          </cell>
        </row>
        <row r="41">
          <cell r="A41" t="str">
            <v>Portfolio-at-risk delinquency rate</v>
          </cell>
          <cell r="B41">
            <v>0</v>
          </cell>
          <cell r="C41">
            <v>0</v>
          </cell>
          <cell r="D41">
            <v>0</v>
          </cell>
          <cell r="E41">
            <v>0</v>
          </cell>
          <cell r="F41">
            <v>0</v>
          </cell>
          <cell r="G41">
            <v>0</v>
          </cell>
          <cell r="H41">
            <v>0</v>
          </cell>
          <cell r="I41">
            <v>0</v>
          </cell>
          <cell r="J41">
            <v>0</v>
          </cell>
        </row>
        <row r="42">
          <cell r="A42" t="str">
            <v>Number of loan officers (end of period)</v>
          </cell>
          <cell r="B42">
            <v>0</v>
          </cell>
          <cell r="C42">
            <v>0</v>
          </cell>
          <cell r="D42">
            <v>0</v>
          </cell>
          <cell r="E42">
            <v>0</v>
          </cell>
          <cell r="F42">
            <v>0</v>
          </cell>
          <cell r="G42">
            <v>1</v>
          </cell>
          <cell r="H42">
            <v>0</v>
          </cell>
          <cell r="I42">
            <v>2</v>
          </cell>
          <cell r="J42">
            <v>3</v>
          </cell>
        </row>
        <row r="43">
          <cell r="A43" t="str">
            <v>Average number of active clients per loan officer (end of period)</v>
          </cell>
          <cell r="B43">
            <v>0</v>
          </cell>
          <cell r="C43">
            <v>0</v>
          </cell>
          <cell r="D43">
            <v>0</v>
          </cell>
          <cell r="E43">
            <v>0</v>
          </cell>
          <cell r="F43">
            <v>0</v>
          </cell>
          <cell r="G43">
            <v>7</v>
          </cell>
          <cell r="H43">
            <v>0</v>
          </cell>
          <cell r="I43">
            <v>2</v>
          </cell>
          <cell r="J43">
            <v>3.6666666666666665</v>
          </cell>
        </row>
        <row r="44">
          <cell r="A44" t="str">
            <v>Average portfolio outstanding per loan officer (end of period)</v>
          </cell>
          <cell r="B44">
            <v>0</v>
          </cell>
          <cell r="C44">
            <v>0</v>
          </cell>
          <cell r="D44">
            <v>0</v>
          </cell>
          <cell r="E44">
            <v>0</v>
          </cell>
          <cell r="F44">
            <v>0</v>
          </cell>
          <cell r="G44">
            <v>5610.6383999999998</v>
          </cell>
          <cell r="H44">
            <v>0</v>
          </cell>
          <cell r="I44">
            <v>1968.1677999999999</v>
          </cell>
          <cell r="J44">
            <v>3182.3246666666669</v>
          </cell>
        </row>
        <row r="46">
          <cell r="A46" t="str">
            <v>Portfolio data   Grand Total Loans</v>
          </cell>
          <cell r="B46" t="str">
            <v>Bishkek</v>
          </cell>
          <cell r="C46" t="str">
            <v>Osh</v>
          </cell>
          <cell r="D46" t="str">
            <v>Jalalabad</v>
          </cell>
          <cell r="E46" t="str">
            <v>Batken</v>
          </cell>
          <cell r="F46" t="str">
            <v>Naryn</v>
          </cell>
          <cell r="G46" t="str">
            <v>Balykchy</v>
          </cell>
          <cell r="H46" t="str">
            <v>Talas</v>
          </cell>
          <cell r="I46" t="str">
            <v>Karakol</v>
          </cell>
          <cell r="J46" t="str">
            <v>Total</v>
          </cell>
        </row>
        <row r="47">
          <cell r="A47" t="str">
            <v>Total value of loans disbursed during the period</v>
          </cell>
          <cell r="B47">
            <v>272281.65500000003</v>
          </cell>
          <cell r="C47">
            <v>310850.65960000001</v>
          </cell>
          <cell r="D47">
            <v>293841.81799999997</v>
          </cell>
          <cell r="E47">
            <v>305126.098</v>
          </cell>
          <cell r="F47">
            <v>303679.24670000002</v>
          </cell>
          <cell r="G47">
            <v>399318.6311</v>
          </cell>
          <cell r="H47">
            <v>609642.61369999999</v>
          </cell>
          <cell r="I47">
            <v>420374.83740000002</v>
          </cell>
          <cell r="J47">
            <v>2915115.5595</v>
          </cell>
        </row>
        <row r="48">
          <cell r="A48" t="str">
            <v>Total number of loans disbursed during the period</v>
          </cell>
          <cell r="B48">
            <v>25</v>
          </cell>
          <cell r="C48">
            <v>444</v>
          </cell>
          <cell r="D48">
            <v>976</v>
          </cell>
          <cell r="E48">
            <v>892</v>
          </cell>
          <cell r="F48">
            <v>835</v>
          </cell>
          <cell r="G48">
            <v>1265</v>
          </cell>
          <cell r="H48">
            <v>1271</v>
          </cell>
          <cell r="I48">
            <v>1155</v>
          </cell>
          <cell r="J48">
            <v>6863</v>
          </cell>
        </row>
        <row r="49">
          <cell r="A49" t="str">
            <v>Number of active groups (end of period)</v>
          </cell>
          <cell r="B49">
            <v>0</v>
          </cell>
          <cell r="C49">
            <v>169</v>
          </cell>
          <cell r="D49">
            <v>348</v>
          </cell>
          <cell r="E49">
            <v>435</v>
          </cell>
          <cell r="F49">
            <v>260</v>
          </cell>
          <cell r="G49">
            <v>471</v>
          </cell>
          <cell r="H49">
            <v>456</v>
          </cell>
          <cell r="I49">
            <v>496</v>
          </cell>
          <cell r="J49">
            <v>2635</v>
          </cell>
        </row>
        <row r="50">
          <cell r="A50" t="str">
            <v>Number of active clients (end of period)</v>
          </cell>
          <cell r="B50">
            <v>62</v>
          </cell>
          <cell r="C50">
            <v>944</v>
          </cell>
          <cell r="D50">
            <v>1746</v>
          </cell>
          <cell r="E50">
            <v>2118</v>
          </cell>
          <cell r="F50">
            <v>1244</v>
          </cell>
          <cell r="G50">
            <v>2347</v>
          </cell>
          <cell r="H50">
            <v>2448</v>
          </cell>
          <cell r="I50">
            <v>2496</v>
          </cell>
          <cell r="J50">
            <v>13405</v>
          </cell>
        </row>
        <row r="51">
          <cell r="A51" t="str">
            <v>Value of loans outstanding (end of period)</v>
          </cell>
          <cell r="B51">
            <v>445966.2893</v>
          </cell>
          <cell r="C51">
            <v>476372.29699999996</v>
          </cell>
          <cell r="D51">
            <v>384358.38489999995</v>
          </cell>
          <cell r="E51">
            <v>437342.79819999996</v>
          </cell>
          <cell r="F51">
            <v>320173.03520000004</v>
          </cell>
          <cell r="G51">
            <v>462652.31849999999</v>
          </cell>
          <cell r="H51">
            <v>788375.88050000009</v>
          </cell>
          <cell r="I51">
            <v>610919.13919999998</v>
          </cell>
          <cell r="J51">
            <v>3926160.1428</v>
          </cell>
        </row>
        <row r="52">
          <cell r="A52" t="str">
            <v>Value of payments in arrears (end of period)</v>
          </cell>
          <cell r="B52">
            <v>270.81</v>
          </cell>
          <cell r="C52">
            <v>0</v>
          </cell>
          <cell r="D52">
            <v>2928.5549999999998</v>
          </cell>
          <cell r="E52">
            <v>0</v>
          </cell>
          <cell r="F52">
            <v>0</v>
          </cell>
          <cell r="G52">
            <v>1821.4954</v>
          </cell>
          <cell r="H52">
            <v>1988.0423000000001</v>
          </cell>
          <cell r="I52">
            <v>7005.13</v>
          </cell>
          <cell r="J52">
            <v>14014.0327</v>
          </cell>
        </row>
        <row r="53">
          <cell r="A53" t="str">
            <v>Number of groups in arrears (end of period)</v>
          </cell>
          <cell r="B53">
            <v>0</v>
          </cell>
          <cell r="C53">
            <v>0</v>
          </cell>
          <cell r="D53">
            <v>2</v>
          </cell>
          <cell r="E53">
            <v>0</v>
          </cell>
          <cell r="F53">
            <v>0</v>
          </cell>
          <cell r="G53">
            <v>2</v>
          </cell>
          <cell r="H53">
            <v>3</v>
          </cell>
          <cell r="I53">
            <v>8</v>
          </cell>
          <cell r="J53">
            <v>15</v>
          </cell>
        </row>
        <row r="54">
          <cell r="A54" t="str">
            <v>Number of clients in arrears (end of period)</v>
          </cell>
          <cell r="B54">
            <v>1</v>
          </cell>
          <cell r="C54">
            <v>0</v>
          </cell>
          <cell r="D54">
            <v>11</v>
          </cell>
          <cell r="E54">
            <v>0</v>
          </cell>
          <cell r="F54">
            <v>0</v>
          </cell>
          <cell r="G54">
            <v>8</v>
          </cell>
          <cell r="H54">
            <v>18</v>
          </cell>
          <cell r="I54">
            <v>35</v>
          </cell>
          <cell r="J54">
            <v>73</v>
          </cell>
        </row>
        <row r="55">
          <cell r="A55" t="str">
            <v>Value of loan outstanding in arrears</v>
          </cell>
          <cell r="B55">
            <v>270.81</v>
          </cell>
          <cell r="C55">
            <v>0</v>
          </cell>
          <cell r="D55">
            <v>4295.26</v>
          </cell>
          <cell r="E55">
            <v>0</v>
          </cell>
          <cell r="F55">
            <v>0</v>
          </cell>
          <cell r="G55">
            <v>1821.4954</v>
          </cell>
          <cell r="H55">
            <v>1988.0423000000001</v>
          </cell>
          <cell r="I55">
            <v>12059.05</v>
          </cell>
          <cell r="J55">
            <v>20434.6577</v>
          </cell>
        </row>
        <row r="56">
          <cell r="A56" t="str">
            <v xml:space="preserve">Portfolio-at-risk delinquency rate </v>
          </cell>
          <cell r="B56">
            <v>6.0724320760896576E-4</v>
          </cell>
          <cell r="C56">
            <v>0</v>
          </cell>
          <cell r="D56">
            <v>1.1175143222431625E-2</v>
          </cell>
          <cell r="E56">
            <v>0</v>
          </cell>
          <cell r="F56">
            <v>0</v>
          </cell>
          <cell r="G56">
            <v>3.9370718078439717E-3</v>
          </cell>
          <cell r="H56">
            <v>2.5216934576171371E-3</v>
          </cell>
          <cell r="I56">
            <v>1.9739191696942663E-2</v>
          </cell>
          <cell r="J56">
            <v>5.2047438099218028E-3</v>
          </cell>
        </row>
        <row r="57">
          <cell r="A57" t="str">
            <v>Number of loan officers (end of period)</v>
          </cell>
          <cell r="B57">
            <v>2</v>
          </cell>
          <cell r="C57">
            <v>8</v>
          </cell>
          <cell r="D57">
            <v>8</v>
          </cell>
          <cell r="E57">
            <v>8</v>
          </cell>
          <cell r="F57">
            <v>5</v>
          </cell>
          <cell r="G57">
            <v>10</v>
          </cell>
          <cell r="H57">
            <v>6</v>
          </cell>
          <cell r="I57">
            <v>12</v>
          </cell>
          <cell r="J57">
            <v>59</v>
          </cell>
        </row>
        <row r="58">
          <cell r="A58" t="str">
            <v>Average number of active clients per loan officer (end of period)</v>
          </cell>
          <cell r="B58">
            <v>31</v>
          </cell>
          <cell r="C58">
            <v>118</v>
          </cell>
          <cell r="D58">
            <v>218.25</v>
          </cell>
          <cell r="E58">
            <v>264.75</v>
          </cell>
          <cell r="F58">
            <v>248.8</v>
          </cell>
          <cell r="G58">
            <v>234.7</v>
          </cell>
          <cell r="H58">
            <v>408</v>
          </cell>
          <cell r="I58">
            <v>208</v>
          </cell>
          <cell r="J58">
            <v>227.20338983050848</v>
          </cell>
        </row>
        <row r="59">
          <cell r="A59" t="str">
            <v>Average portfolio outstanding per loan officer (end of period)</v>
          </cell>
          <cell r="B59">
            <v>222983.14465</v>
          </cell>
          <cell r="C59">
            <v>59546.537124999995</v>
          </cell>
          <cell r="D59">
            <v>48044.798112499993</v>
          </cell>
          <cell r="E59">
            <v>54667.849774999995</v>
          </cell>
          <cell r="F59">
            <v>64034.60704000001</v>
          </cell>
          <cell r="G59">
            <v>46265.231849999996</v>
          </cell>
          <cell r="H59">
            <v>131395.98008333336</v>
          </cell>
          <cell r="I59">
            <v>50909.928266666662</v>
          </cell>
          <cell r="J59">
            <v>66545.087166101701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to analysts (HIDE)"/>
      <sheetName val="Instructions"/>
      <sheetName val="General information"/>
      <sheetName val="Loan Portfolio Breakdown"/>
      <sheetName val="Branch Information"/>
      <sheetName val="Deposit Breakdown"/>
      <sheetName val="Funding Sources"/>
      <sheetName val="Covenants"/>
      <sheetName val="ALM"/>
      <sheetName val="FX exposure"/>
      <sheetName val="OBS exposures"/>
      <sheetName val="KYC"/>
      <sheetName val="SPIRIT"/>
      <sheetName val="SPIRIT - CONFIDENTIAL"/>
      <sheetName val="Lists (HIDE) (2)"/>
      <sheetName val="2009 GNI (HIDE)"/>
      <sheetName val="Lists (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A4" t="str">
            <v>Microentreprise</v>
          </cell>
        </row>
        <row r="5">
          <cell r="A5" t="str">
            <v>SME</v>
          </cell>
        </row>
        <row r="6">
          <cell r="A6" t="str">
            <v>Corporate</v>
          </cell>
        </row>
        <row r="7">
          <cell r="A7" t="str">
            <v>Consumption</v>
          </cell>
        </row>
        <row r="8">
          <cell r="A8" t="str">
            <v>Education/Health/Emergency</v>
          </cell>
        </row>
        <row r="9">
          <cell r="A9" t="str">
            <v>Housing</v>
          </cell>
        </row>
        <row r="10">
          <cell r="A10" t="str">
            <v>Other products</v>
          </cell>
        </row>
        <row r="17">
          <cell r="A17" t="str">
            <v>Individual</v>
          </cell>
        </row>
        <row r="18">
          <cell r="A18" t="str">
            <v>Small solidarity groups</v>
          </cell>
        </row>
        <row r="19">
          <cell r="A19" t="str">
            <v>Large solidarity groups</v>
          </cell>
        </row>
        <row r="23">
          <cell r="A23" t="str">
            <v>None</v>
          </cell>
        </row>
        <row r="24">
          <cell r="A24" t="str">
            <v>Garantor</v>
          </cell>
        </row>
        <row r="25">
          <cell r="A25" t="str">
            <v>Real Estate (&gt;100% value of loan)</v>
          </cell>
        </row>
        <row r="26">
          <cell r="A26" t="str">
            <v>Real Estate (&lt;100% value of loan)</v>
          </cell>
        </row>
        <row r="27">
          <cell r="A27" t="str">
            <v>Chattel</v>
          </cell>
        </row>
        <row r="28">
          <cell r="A28" t="str">
            <v>Gold or Jewelry</v>
          </cell>
        </row>
        <row r="29">
          <cell r="A29" t="str">
            <v>Other</v>
          </cell>
        </row>
        <row r="33">
          <cell r="A33" t="str">
            <v>Daily</v>
          </cell>
        </row>
        <row r="34">
          <cell r="A34" t="str">
            <v>Weekly</v>
          </cell>
        </row>
        <row r="35">
          <cell r="A35" t="str">
            <v>14 day period</v>
          </cell>
        </row>
        <row r="36">
          <cell r="A36" t="str">
            <v>2 week period</v>
          </cell>
        </row>
        <row r="37">
          <cell r="A37" t="str">
            <v>Monthly</v>
          </cell>
        </row>
        <row r="38">
          <cell r="A38" t="str">
            <v>4 week period</v>
          </cell>
        </row>
        <row r="39">
          <cell r="A39" t="str">
            <v>Bi-monthly</v>
          </cell>
        </row>
        <row r="40">
          <cell r="A40" t="str">
            <v>Quarterly</v>
          </cell>
        </row>
        <row r="41">
          <cell r="A41" t="str">
            <v>Semi-annually</v>
          </cell>
        </row>
        <row r="42">
          <cell r="A42" t="str">
            <v>Annually</v>
          </cell>
        </row>
        <row r="43">
          <cell r="A43" t="str">
            <v>End-Term (Bullet)</v>
          </cell>
        </row>
        <row r="48">
          <cell r="A48" t="str">
            <v>Equal principal payments</v>
          </cell>
        </row>
        <row r="49">
          <cell r="A49" t="str">
            <v>Equal Installments (amortized)</v>
          </cell>
        </row>
        <row r="50">
          <cell r="A50" t="str">
            <v>Single end-term payment</v>
          </cell>
        </row>
        <row r="54">
          <cell r="A54" t="str">
            <v>Flat</v>
          </cell>
        </row>
        <row r="55">
          <cell r="A55" t="str">
            <v>Declining</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9.vml"/><Relationship Id="rId7" Type="http://schemas.openxmlformats.org/officeDocument/2006/relationships/ctrlProp" Target="../ctrlProps/ctrlProp51.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comments" Target="../comments7.xml"/><Relationship Id="rId4" Type="http://schemas.openxmlformats.org/officeDocument/2006/relationships/ctrlProp" Target="../ctrlProps/ctrlProp5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5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5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4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4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4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2:M254"/>
  <sheetViews>
    <sheetView showGridLines="0" tabSelected="1" zoomScaleNormal="100" workbookViewId="0">
      <selection activeCell="B32" sqref="B32:C32"/>
    </sheetView>
  </sheetViews>
  <sheetFormatPr defaultRowHeight="11.25" x14ac:dyDescent="0.2"/>
  <cols>
    <col min="1" max="1" width="22.7109375" style="28" customWidth="1"/>
    <col min="2" max="2" width="11.85546875" style="28" customWidth="1"/>
    <col min="3" max="3" width="8.5703125" style="28" customWidth="1"/>
    <col min="4" max="4" width="9.28515625" style="28" customWidth="1"/>
    <col min="5" max="5" width="16.85546875" style="28" customWidth="1"/>
    <col min="6" max="8" width="9.140625" style="28"/>
    <col min="9" max="9" width="32.28515625" style="28" customWidth="1"/>
    <col min="10" max="10" width="11.7109375" style="28" customWidth="1"/>
    <col min="11" max="11" width="4.42578125" style="28" customWidth="1"/>
    <col min="12" max="12" width="10.140625" style="28" customWidth="1"/>
    <col min="13" max="13" width="11.42578125" style="28" customWidth="1"/>
    <col min="14" max="14" width="10.85546875" style="28" customWidth="1"/>
    <col min="15" max="15" width="5.140625" style="28" customWidth="1"/>
    <col min="16" max="17" width="4.7109375" style="28" customWidth="1"/>
    <col min="18" max="18" width="5" style="28" customWidth="1"/>
    <col min="19" max="16384" width="9.140625" style="28"/>
  </cols>
  <sheetData>
    <row r="2" spans="1:8" x14ac:dyDescent="0.2">
      <c r="F2" s="815"/>
      <c r="G2" s="815"/>
      <c r="H2" s="815"/>
    </row>
    <row r="3" spans="1:8" x14ac:dyDescent="0.2">
      <c r="F3" s="815"/>
      <c r="G3" s="815"/>
      <c r="H3" s="815"/>
    </row>
    <row r="4" spans="1:8" x14ac:dyDescent="0.2">
      <c r="F4" s="815"/>
      <c r="G4" s="815"/>
      <c r="H4" s="815"/>
    </row>
    <row r="5" spans="1:8" x14ac:dyDescent="0.2">
      <c r="F5" s="815"/>
      <c r="G5" s="815"/>
      <c r="H5" s="815"/>
    </row>
    <row r="6" spans="1:8" x14ac:dyDescent="0.2">
      <c r="F6" s="815"/>
      <c r="G6" s="815"/>
      <c r="H6" s="815"/>
    </row>
    <row r="9" spans="1:8" ht="15" x14ac:dyDescent="0.25">
      <c r="A9" s="817" t="str">
        <f>IF(L!$B$364=2,L!B391,L!C391)</f>
        <v>КРЕДИТНАЯ ЗАЯВКА</v>
      </c>
      <c r="B9" s="817"/>
      <c r="C9" s="817"/>
      <c r="D9" s="817"/>
      <c r="E9" s="817"/>
      <c r="F9" s="817"/>
      <c r="G9" s="817"/>
      <c r="H9" s="817"/>
    </row>
    <row r="10" spans="1:8" ht="5.25" customHeight="1" x14ac:dyDescent="0.2"/>
    <row r="11" spans="1:8" ht="36" customHeight="1" x14ac:dyDescent="0.2">
      <c r="A11" s="727" t="str">
        <f>IF(L!$B$364=2,L!B392,L!C392)</f>
        <v>Благодарим Вас за рассмотрение программы кредитования ОсОО МКК «Фронтиэрс». Пожалуйста, удостоверьтесь в том, что Вы приложили все ниже перечисленные документы перед тем, как подписать  заявку и представить её на рассмотрение ОсОО МКК «Фронтиэрс».</v>
      </c>
      <c r="B11" s="727"/>
      <c r="C11" s="727"/>
      <c r="D11" s="727"/>
      <c r="E11" s="727"/>
      <c r="F11" s="727"/>
      <c r="G11" s="727"/>
      <c r="H11" s="727"/>
    </row>
    <row r="12" spans="1:8" ht="51" customHeight="1" x14ac:dyDescent="0.2">
      <c r="A12" s="727" t="str">
        <f>IF(L!$B$364=2,L!B393,L!C393)</f>
        <v>Вся информация, содержащаяся в данной заявке, рассматривается исключительно конфиденциальной. Заполненная заявка может быть представлена по следующему адресу:  
Кыргызская Республика, г.Бишкек, 720011, ул. Абдрахманова 201 (1 этаж), Teл/Факс: +996 (312) 30-45-03, 30-45-11, 30-45-12; или по электронной почте: office@frontiers.kg</v>
      </c>
      <c r="B12" s="727"/>
      <c r="C12" s="727"/>
      <c r="D12" s="727"/>
      <c r="E12" s="727"/>
      <c r="F12" s="727"/>
      <c r="G12" s="727"/>
      <c r="H12" s="727"/>
    </row>
    <row r="13" spans="1:8" ht="3" customHeight="1" thickBot="1" x14ac:dyDescent="0.25"/>
    <row r="14" spans="1:8" x14ac:dyDescent="0.2">
      <c r="A14" s="736" t="str">
        <f>IF(L!$B$364=2,L!B395,L!C395)</f>
        <v>ИНФОРМАЦИЯ ОБ ОРГАНИЗАЦИИ</v>
      </c>
      <c r="B14" s="737"/>
      <c r="C14" s="737"/>
      <c r="D14" s="737"/>
      <c r="E14" s="737"/>
      <c r="F14" s="737"/>
      <c r="G14" s="737"/>
      <c r="H14" s="738"/>
    </row>
    <row r="15" spans="1:8" ht="22.5" x14ac:dyDescent="0.2">
      <c r="A15" s="144" t="str">
        <f>IF(L!$B$364=2,L!B397,L!C397)</f>
        <v xml:space="preserve">Юридическое название организации: </v>
      </c>
      <c r="B15" s="792"/>
      <c r="C15" s="792"/>
      <c r="D15" s="792"/>
      <c r="E15" s="816" t="str">
        <f>IF(L!$B$364=2,L!B410,L!C410)</f>
        <v>Год основания (день/м-ц/год):</v>
      </c>
      <c r="F15" s="816"/>
      <c r="G15" s="828"/>
      <c r="H15" s="829"/>
    </row>
    <row r="16" spans="1:8" ht="24.75" customHeight="1" x14ac:dyDescent="0.2">
      <c r="A16" s="144" t="str">
        <f>IF(L!$B$364=2,L!B398,L!C398)</f>
        <v>Юридический адрес:</v>
      </c>
      <c r="B16" s="792"/>
      <c r="C16" s="792"/>
      <c r="D16" s="792"/>
      <c r="E16" s="142" t="str">
        <f>IF(L!$B$364=2,L!B411,L!C411)</f>
        <v>Текущий адрес:</v>
      </c>
      <c r="F16" s="792"/>
      <c r="G16" s="792"/>
      <c r="H16" s="792"/>
    </row>
    <row r="17" spans="1:8" ht="17.25" customHeight="1" x14ac:dyDescent="0.2">
      <c r="A17" s="144" t="str">
        <f>IF(L!$B$364=2,L!B399,L!C399)</f>
        <v>Тип организации</v>
      </c>
      <c r="B17" s="823"/>
      <c r="C17" s="824"/>
      <c r="D17" s="824"/>
      <c r="E17" s="142" t="str">
        <f>IF(L!$B$364=2,L!B412,L!C412)</f>
        <v xml:space="preserve">Вид организации: </v>
      </c>
      <c r="F17" s="825"/>
      <c r="G17" s="826"/>
      <c r="H17" s="827"/>
    </row>
    <row r="18" spans="1:8" ht="24" customHeight="1" x14ac:dyDescent="0.2">
      <c r="A18" s="144" t="str">
        <f>IF(L!$B$364=2,L!B400,L!C400)</f>
        <v>Наименование органа регистрации:</v>
      </c>
      <c r="B18" s="755"/>
      <c r="C18" s="756"/>
      <c r="D18" s="814"/>
      <c r="E18" s="142" t="str">
        <f>IF(L!$B$364=2,L!B413,L!C413)</f>
        <v>Налоговый номер (ИНН):</v>
      </c>
      <c r="F18" s="818"/>
      <c r="G18" s="819"/>
      <c r="H18" s="820"/>
    </row>
    <row r="19" spans="1:8" ht="23.25" customHeight="1" x14ac:dyDescent="0.2">
      <c r="A19" s="144" t="str">
        <f>IF(L!$B$364=2,L!B401,L!C401)</f>
        <v>Регистрационный номер:</v>
      </c>
      <c r="B19" s="755"/>
      <c r="C19" s="756"/>
      <c r="D19" s="814"/>
      <c r="E19" s="142" t="str">
        <f>IF(L!$B$364=2,L!B414,L!C414)</f>
        <v>Код ОКПО*:</v>
      </c>
      <c r="F19" s="818"/>
      <c r="G19" s="819"/>
      <c r="H19" s="820"/>
    </row>
    <row r="20" spans="1:8" x14ac:dyDescent="0.2">
      <c r="A20" s="144" t="str">
        <f>IF(L!$B$364=2,L!B402,L!C402)</f>
        <v>Телефон:</v>
      </c>
      <c r="B20" s="789"/>
      <c r="C20" s="790"/>
      <c r="D20" s="791"/>
      <c r="E20" s="142" t="str">
        <f>IF(L!$B$364=2,L!B415,L!C415)</f>
        <v>Факс:</v>
      </c>
      <c r="F20" s="789"/>
      <c r="G20" s="790"/>
      <c r="H20" s="793"/>
    </row>
    <row r="21" spans="1:8" x14ac:dyDescent="0.2">
      <c r="A21" s="144" t="str">
        <f>IF(L!$B$364=2,L!B403,L!C403)</f>
        <v>Почтовый индекс:</v>
      </c>
      <c r="B21" s="794"/>
      <c r="C21" s="795"/>
      <c r="D21" s="796"/>
      <c r="E21" s="142" t="str">
        <f>IF(L!$B$364=2,L!B416,L!C416)</f>
        <v>e-mail:</v>
      </c>
      <c r="F21" s="810"/>
      <c r="G21" s="795"/>
      <c r="H21" s="811"/>
    </row>
    <row r="22" spans="1:8" ht="24.75" customHeight="1" x14ac:dyDescent="0.2">
      <c r="A22" s="835" t="str">
        <f>IF(L!$B$364=2,L!B404,L!C404)</f>
        <v>Информация о руководителе организации</v>
      </c>
      <c r="B22" s="784"/>
      <c r="C22" s="784"/>
      <c r="D22" s="836"/>
      <c r="E22" s="783" t="str">
        <f>IF(L!$B$364=2,L!B417,L!C417)</f>
        <v>Информация о сотруднике, ответственном за заполнение заявки и ведение переговоров</v>
      </c>
      <c r="F22" s="784"/>
      <c r="G22" s="784"/>
      <c r="H22" s="785"/>
    </row>
    <row r="23" spans="1:8" x14ac:dyDescent="0.2">
      <c r="A23" s="145" t="str">
        <f>IF(L!$B$364=2,L!B405,L!C405)</f>
        <v>Ф.И.О.</v>
      </c>
      <c r="B23" s="789"/>
      <c r="C23" s="790"/>
      <c r="D23" s="791"/>
      <c r="E23" s="143" t="str">
        <f>IF(L!$B$364=2,L!B418,L!C418)</f>
        <v>Ф.И.О.</v>
      </c>
      <c r="F23" s="789"/>
      <c r="G23" s="790"/>
      <c r="H23" s="793"/>
    </row>
    <row r="24" spans="1:8" x14ac:dyDescent="0.2">
      <c r="A24" s="145" t="str">
        <f>IF(L!$B$364=2,L!B406,L!C406)</f>
        <v>Должность:</v>
      </c>
      <c r="B24" s="789"/>
      <c r="C24" s="790"/>
      <c r="D24" s="791"/>
      <c r="E24" s="143" t="str">
        <f>IF(L!$B$364=2,L!B419,L!C419)</f>
        <v>Должность:</v>
      </c>
      <c r="F24" s="789"/>
      <c r="G24" s="790"/>
      <c r="H24" s="793"/>
    </row>
    <row r="25" spans="1:8" x14ac:dyDescent="0.2">
      <c r="A25" s="145" t="str">
        <f>IF(L!$B$364=2,L!B407,L!C407)</f>
        <v>Телефон:</v>
      </c>
      <c r="B25" s="789"/>
      <c r="C25" s="790"/>
      <c r="D25" s="791"/>
      <c r="E25" s="143" t="str">
        <f>IF(L!$B$364=2,L!B420,L!C420)</f>
        <v>Телефон:</v>
      </c>
      <c r="F25" s="789"/>
      <c r="G25" s="790"/>
      <c r="H25" s="793"/>
    </row>
    <row r="26" spans="1:8" ht="12" thickBot="1" x14ac:dyDescent="0.25">
      <c r="A26" s="146" t="str">
        <f>IF(L!$B$364=2,L!B408,L!C408)</f>
        <v>e-mail:</v>
      </c>
      <c r="B26" s="830"/>
      <c r="C26" s="831"/>
      <c r="D26" s="834"/>
      <c r="E26" s="147" t="str">
        <f>IF(L!$B$364=2,L!B421,L!C421)</f>
        <v>e-mail:</v>
      </c>
      <c r="F26" s="830"/>
      <c r="G26" s="831"/>
      <c r="H26" s="832"/>
    </row>
    <row r="27" spans="1:8" x14ac:dyDescent="0.2">
      <c r="A27" s="178" t="str">
        <f>IF(L!$B$364=2,L!B423,L!C423)</f>
        <v>*Заполняется клиентами из Кыргызстана</v>
      </c>
      <c r="B27" s="135"/>
      <c r="C27" s="135"/>
      <c r="D27" s="135"/>
      <c r="E27" s="135"/>
      <c r="F27" s="135"/>
      <c r="G27" s="135"/>
      <c r="H27" s="135"/>
    </row>
    <row r="28" spans="1:8" ht="12" thickBot="1" x14ac:dyDescent="0.25">
      <c r="A28" s="5"/>
      <c r="B28" s="87"/>
      <c r="C28" s="86"/>
      <c r="D28" s="86"/>
      <c r="E28" s="86"/>
      <c r="F28" s="86"/>
      <c r="G28" s="86"/>
      <c r="H28" s="83"/>
    </row>
    <row r="29" spans="1:8" ht="15" customHeight="1" x14ac:dyDescent="0.2">
      <c r="A29" s="786" t="str">
        <f>IF(L!$B$364=2,L!B425,L!C425)</f>
        <v>ДОЛЕВОЕ РАСПРЕДЕЛЕНИЕ СОБСТВЕННОСТИ</v>
      </c>
      <c r="B29" s="787"/>
      <c r="C29" s="787"/>
      <c r="D29" s="787"/>
      <c r="E29" s="787"/>
      <c r="F29" s="787"/>
      <c r="G29" s="787"/>
      <c r="H29" s="788"/>
    </row>
    <row r="30" spans="1:8" ht="52.5" customHeight="1" thickBot="1" x14ac:dyDescent="0.25">
      <c r="A30" s="780" t="str">
        <f>IF(L!$B$364=2,L!B426,L!C426)</f>
        <v xml:space="preserve">Внесите в список всех учредителей, акционеров и партнеров. Приложите дополнительный лист, если понадобится. Примечание для Кредитных Союзов: укажите 10 участников с самым большим размером сберегательного пая. Если среди учредителей имеется юридическое лицо, то представьте пожалуйста отдельно информацию об учредителе(лях) данной организации (до выявления конечного выгодоприобретателя). </v>
      </c>
      <c r="B30" s="781"/>
      <c r="C30" s="781"/>
      <c r="D30" s="781"/>
      <c r="E30" s="781"/>
      <c r="F30" s="781"/>
      <c r="G30" s="781"/>
      <c r="H30" s="782"/>
    </row>
    <row r="31" spans="1:8" ht="38.25" customHeight="1" x14ac:dyDescent="0.2">
      <c r="A31" s="134" t="str">
        <f>IF(L!$B$364=2,L!B428,L!C428)</f>
        <v>Ф.И.О / Наименование учредителей</v>
      </c>
      <c r="B31" s="812" t="str">
        <f>IF(L!$B$364=2,L!B429,L!C429)</f>
        <v xml:space="preserve">Должность/область деятельности </v>
      </c>
      <c r="C31" s="812"/>
      <c r="D31" s="89" t="str">
        <f>IF(L!$B$364=2,L!B430,L!C430)</f>
        <v>Дата внесения капитала</v>
      </c>
      <c r="E31" s="89" t="str">
        <f>IF(L!$B$364=2,L!B431,L!C431)</f>
        <v>Сумма вклада капитала</v>
      </c>
      <c r="F31" s="89" t="str">
        <f>IF(L!$B$364=2,L!B432,L!C432)</f>
        <v>Валюта</v>
      </c>
      <c r="G31" s="812" t="str">
        <f>IF(L!$B$364=2,L!B433,L!C433)</f>
        <v>Адрес</v>
      </c>
      <c r="H31" s="833"/>
    </row>
    <row r="32" spans="1:8" x14ac:dyDescent="0.2">
      <c r="A32" s="184"/>
      <c r="B32" s="813"/>
      <c r="C32" s="813"/>
      <c r="D32" s="185"/>
      <c r="E32" s="186"/>
      <c r="F32" s="180"/>
      <c r="G32" s="821"/>
      <c r="H32" s="822"/>
    </row>
    <row r="33" spans="1:9" ht="12.75" customHeight="1" x14ac:dyDescent="0.2">
      <c r="A33" s="184"/>
      <c r="B33" s="813"/>
      <c r="C33" s="813"/>
      <c r="D33" s="185"/>
      <c r="E33" s="186"/>
      <c r="F33" s="180"/>
      <c r="G33" s="821"/>
      <c r="H33" s="822"/>
    </row>
    <row r="34" spans="1:9" ht="12.75" customHeight="1" x14ac:dyDescent="0.2">
      <c r="A34" s="184"/>
      <c r="B34" s="813"/>
      <c r="C34" s="813"/>
      <c r="D34" s="185"/>
      <c r="E34" s="186"/>
      <c r="F34" s="180"/>
      <c r="G34" s="821"/>
      <c r="H34" s="822"/>
    </row>
    <row r="35" spans="1:9" ht="12.75" customHeight="1" x14ac:dyDescent="0.2">
      <c r="A35" s="184"/>
      <c r="B35" s="813"/>
      <c r="C35" s="813"/>
      <c r="D35" s="185"/>
      <c r="E35" s="186"/>
      <c r="F35" s="180"/>
      <c r="G35" s="821"/>
      <c r="H35" s="822"/>
    </row>
    <row r="36" spans="1:9" ht="12.75" customHeight="1" x14ac:dyDescent="0.2">
      <c r="A36" s="184"/>
      <c r="B36" s="813"/>
      <c r="C36" s="813"/>
      <c r="D36" s="185"/>
      <c r="E36" s="186"/>
      <c r="F36" s="180"/>
      <c r="G36" s="821"/>
      <c r="H36" s="822"/>
    </row>
    <row r="37" spans="1:9" ht="12.75" customHeight="1" x14ac:dyDescent="0.2">
      <c r="A37" s="184"/>
      <c r="B37" s="813"/>
      <c r="C37" s="813"/>
      <c r="D37" s="185"/>
      <c r="E37" s="186"/>
      <c r="F37" s="180"/>
      <c r="G37" s="821"/>
      <c r="H37" s="822"/>
    </row>
    <row r="38" spans="1:9" ht="12.75" customHeight="1" x14ac:dyDescent="0.2">
      <c r="A38" s="184"/>
      <c r="B38" s="813"/>
      <c r="C38" s="813"/>
      <c r="D38" s="185"/>
      <c r="E38" s="186"/>
      <c r="F38" s="180"/>
      <c r="G38" s="821"/>
      <c r="H38" s="822"/>
    </row>
    <row r="39" spans="1:9" ht="12.75" customHeight="1" x14ac:dyDescent="0.2">
      <c r="A39" s="184"/>
      <c r="B39" s="813"/>
      <c r="C39" s="813"/>
      <c r="D39" s="185"/>
      <c r="E39" s="186"/>
      <c r="F39" s="180"/>
      <c r="G39" s="821"/>
      <c r="H39" s="822"/>
    </row>
    <row r="40" spans="1:9" ht="12.75" customHeight="1" x14ac:dyDescent="0.2">
      <c r="A40" s="184"/>
      <c r="B40" s="813"/>
      <c r="C40" s="813"/>
      <c r="D40" s="185"/>
      <c r="E40" s="186"/>
      <c r="F40" s="180"/>
      <c r="G40" s="821"/>
      <c r="H40" s="822"/>
    </row>
    <row r="41" spans="1:9" ht="12.75" customHeight="1" x14ac:dyDescent="0.2">
      <c r="A41" s="184"/>
      <c r="B41" s="813"/>
      <c r="C41" s="813"/>
      <c r="D41" s="185"/>
      <c r="E41" s="186"/>
      <c r="F41" s="180"/>
      <c r="G41" s="821"/>
      <c r="H41" s="822"/>
    </row>
    <row r="42" spans="1:9" ht="12.75" customHeight="1" x14ac:dyDescent="0.2">
      <c r="A42" s="184"/>
      <c r="B42" s="813"/>
      <c r="C42" s="813"/>
      <c r="D42" s="185"/>
      <c r="E42" s="186"/>
      <c r="F42" s="180"/>
      <c r="G42" s="821"/>
      <c r="H42" s="822"/>
    </row>
    <row r="43" spans="1:9" ht="13.5" x14ac:dyDescent="0.25">
      <c r="A43" s="184"/>
      <c r="B43" s="813"/>
      <c r="C43" s="813"/>
      <c r="D43" s="185"/>
      <c r="E43" s="186"/>
      <c r="F43" s="180"/>
      <c r="G43" s="821"/>
      <c r="H43" s="822"/>
      <c r="I43" s="80"/>
    </row>
    <row r="44" spans="1:9" x14ac:dyDescent="0.2">
      <c r="A44" s="184"/>
      <c r="B44" s="813"/>
      <c r="C44" s="813"/>
      <c r="D44" s="185"/>
      <c r="E44" s="186"/>
      <c r="F44" s="180"/>
      <c r="G44" s="821"/>
      <c r="H44" s="822"/>
    </row>
    <row r="45" spans="1:9" ht="13.5" customHeight="1" thickBot="1" x14ac:dyDescent="0.25">
      <c r="A45" s="133" t="str">
        <f>IF(L!$B$364=2,L!B434,L!C434)</f>
        <v>Итого:</v>
      </c>
      <c r="B45" s="855" t="s">
        <v>673</v>
      </c>
      <c r="C45" s="855"/>
      <c r="D45" s="179" t="s">
        <v>673</v>
      </c>
      <c r="E45" s="176">
        <f>SUM(E32:E44)</f>
        <v>0</v>
      </c>
      <c r="F45" s="173" t="s">
        <v>611</v>
      </c>
      <c r="G45" s="778" t="s">
        <v>673</v>
      </c>
      <c r="H45" s="779"/>
      <c r="I45" s="82"/>
    </row>
    <row r="46" spans="1:9" ht="11.25" customHeight="1" thickBot="1" x14ac:dyDescent="0.25">
      <c r="A46" s="12"/>
      <c r="B46" s="136"/>
      <c r="C46" s="136"/>
      <c r="D46" s="137"/>
      <c r="E46" s="137"/>
      <c r="F46" s="137"/>
      <c r="G46" s="136"/>
      <c r="H46" s="136"/>
      <c r="I46" s="82"/>
    </row>
    <row r="47" spans="1:9" ht="24.75" customHeight="1" x14ac:dyDescent="0.2">
      <c r="A47" s="786" t="str">
        <f>IF(L!$B$364=1,L!B436,L!C436)</f>
        <v>СВЕДЕНИЯ ОБ ОРГАНАХ ЮРИДИЧЕСКОГО ЛИЦА (структура и персональный состав органов управления):</v>
      </c>
      <c r="B47" s="787"/>
      <c r="C47" s="787"/>
      <c r="D47" s="787"/>
      <c r="E47" s="787"/>
      <c r="F47" s="787"/>
      <c r="G47" s="787"/>
      <c r="H47" s="788"/>
      <c r="I47" s="82"/>
    </row>
    <row r="48" spans="1:9" ht="17.25" customHeight="1" thickBot="1" x14ac:dyDescent="0.25">
      <c r="A48" s="845" t="str">
        <f>IF(L!$B$364=1,L!B437,L!C437)</f>
        <v>Пожалуйста, внесите в список всех членов органа управления.</v>
      </c>
      <c r="B48" s="846"/>
      <c r="C48" s="846"/>
      <c r="D48" s="846"/>
      <c r="E48" s="846"/>
      <c r="F48" s="846"/>
      <c r="G48" s="846"/>
      <c r="H48" s="847"/>
      <c r="I48" s="82"/>
    </row>
    <row r="49" spans="1:10" ht="21.75" customHeight="1" x14ac:dyDescent="0.2">
      <c r="A49" s="134" t="str">
        <f>IF(L!$B$364=1,L!B438,L!C438)</f>
        <v>Наименование органа управления</v>
      </c>
      <c r="B49" s="918" t="str">
        <f>IF(L!$B$364=1,L!B439,L!C439)</f>
        <v>Ф.И.О. членов органа управления</v>
      </c>
      <c r="C49" s="919"/>
      <c r="D49" s="919"/>
      <c r="E49" s="860"/>
      <c r="F49" s="918" t="str">
        <f>IF(L!$B$364=1,L!B440,L!C440)</f>
        <v>Паспортные данные</v>
      </c>
      <c r="G49" s="919"/>
      <c r="H49" s="920"/>
      <c r="I49" s="82"/>
    </row>
    <row r="50" spans="1:10" ht="11.25" customHeight="1" x14ac:dyDescent="0.2">
      <c r="A50" s="184"/>
      <c r="B50" s="842"/>
      <c r="C50" s="843"/>
      <c r="D50" s="843"/>
      <c r="E50" s="844"/>
      <c r="F50" s="848"/>
      <c r="G50" s="849"/>
      <c r="H50" s="850"/>
      <c r="I50" s="82"/>
    </row>
    <row r="51" spans="1:10" ht="11.25" customHeight="1" x14ac:dyDescent="0.2">
      <c r="A51" s="184"/>
      <c r="B51" s="842"/>
      <c r="C51" s="843"/>
      <c r="D51" s="843"/>
      <c r="E51" s="844"/>
      <c r="F51" s="848"/>
      <c r="G51" s="849"/>
      <c r="H51" s="850"/>
      <c r="I51" s="82"/>
    </row>
    <row r="52" spans="1:10" ht="11.25" customHeight="1" x14ac:dyDescent="0.2">
      <c r="A52" s="184"/>
      <c r="B52" s="842"/>
      <c r="C52" s="843"/>
      <c r="D52" s="843"/>
      <c r="E52" s="844"/>
      <c r="F52" s="848"/>
      <c r="G52" s="849"/>
      <c r="H52" s="850"/>
      <c r="I52" s="82"/>
    </row>
    <row r="53" spans="1:10" ht="11.25" customHeight="1" x14ac:dyDescent="0.2">
      <c r="A53" s="184"/>
      <c r="B53" s="842"/>
      <c r="C53" s="843"/>
      <c r="D53" s="843"/>
      <c r="E53" s="844"/>
      <c r="F53" s="848"/>
      <c r="G53" s="849"/>
      <c r="H53" s="850"/>
      <c r="I53" s="82"/>
    </row>
    <row r="54" spans="1:10" ht="11.25" customHeight="1" x14ac:dyDescent="0.2">
      <c r="A54" s="184"/>
      <c r="B54" s="842"/>
      <c r="C54" s="843"/>
      <c r="D54" s="843"/>
      <c r="E54" s="844"/>
      <c r="F54" s="848"/>
      <c r="G54" s="849"/>
      <c r="H54" s="850"/>
      <c r="I54" s="82"/>
    </row>
    <row r="55" spans="1:10" ht="11.25" customHeight="1" x14ac:dyDescent="0.2">
      <c r="A55" s="184"/>
      <c r="B55" s="842"/>
      <c r="C55" s="843"/>
      <c r="D55" s="843"/>
      <c r="E55" s="844"/>
      <c r="F55" s="848"/>
      <c r="G55" s="849"/>
      <c r="H55" s="850"/>
      <c r="I55" s="82"/>
    </row>
    <row r="56" spans="1:10" ht="11.25" customHeight="1" x14ac:dyDescent="0.2">
      <c r="A56" s="184"/>
      <c r="B56" s="842"/>
      <c r="C56" s="843"/>
      <c r="D56" s="843"/>
      <c r="E56" s="844"/>
      <c r="F56" s="848"/>
      <c r="G56" s="849"/>
      <c r="H56" s="850"/>
      <c r="I56" s="82"/>
    </row>
    <row r="57" spans="1:10" ht="11.25" customHeight="1" x14ac:dyDescent="0.2">
      <c r="A57" s="184"/>
      <c r="B57" s="842"/>
      <c r="C57" s="843"/>
      <c r="D57" s="843"/>
      <c r="E57" s="844"/>
      <c r="F57" s="848"/>
      <c r="G57" s="849"/>
      <c r="H57" s="850"/>
      <c r="I57" s="82"/>
    </row>
    <row r="58" spans="1:10" ht="11.25" customHeight="1" x14ac:dyDescent="0.2">
      <c r="A58" s="184"/>
      <c r="B58" s="842"/>
      <c r="C58" s="843"/>
      <c r="D58" s="843"/>
      <c r="E58" s="844"/>
      <c r="F58" s="848"/>
      <c r="G58" s="849"/>
      <c r="H58" s="850"/>
      <c r="I58" s="82"/>
    </row>
    <row r="59" spans="1:10" ht="11.25" customHeight="1" x14ac:dyDescent="0.2">
      <c r="A59" s="184"/>
      <c r="B59" s="842"/>
      <c r="C59" s="843"/>
      <c r="D59" s="843"/>
      <c r="E59" s="844"/>
      <c r="F59" s="848"/>
      <c r="G59" s="849"/>
      <c r="H59" s="850"/>
      <c r="I59" s="82"/>
    </row>
    <row r="60" spans="1:10" ht="11.25" customHeight="1" x14ac:dyDescent="0.2">
      <c r="A60" s="184"/>
      <c r="B60" s="842"/>
      <c r="C60" s="843"/>
      <c r="D60" s="843"/>
      <c r="E60" s="844"/>
      <c r="F60" s="848"/>
      <c r="G60" s="849"/>
      <c r="H60" s="850"/>
      <c r="I60" s="82"/>
    </row>
    <row r="61" spans="1:10" ht="11.25" customHeight="1" x14ac:dyDescent="0.2">
      <c r="A61" s="184"/>
      <c r="B61" s="842"/>
      <c r="C61" s="843"/>
      <c r="D61" s="843"/>
      <c r="E61" s="844"/>
      <c r="F61" s="848"/>
      <c r="G61" s="849"/>
      <c r="H61" s="850"/>
      <c r="I61" s="82"/>
    </row>
    <row r="62" spans="1:10" ht="11.25" customHeight="1" x14ac:dyDescent="0.2">
      <c r="A62" s="184"/>
      <c r="B62" s="842"/>
      <c r="C62" s="843"/>
      <c r="D62" s="843"/>
      <c r="E62" s="844"/>
      <c r="F62" s="848"/>
      <c r="G62" s="849"/>
      <c r="H62" s="850"/>
      <c r="I62" s="82"/>
    </row>
    <row r="63" spans="1:10" ht="11.25" customHeight="1" thickBot="1" x14ac:dyDescent="0.25">
      <c r="A63" s="133" t="str">
        <f>IF(L!$B$364=2,L!B434,L!C434)</f>
        <v>Итого:</v>
      </c>
      <c r="B63" s="839" t="s">
        <v>673</v>
      </c>
      <c r="C63" s="840"/>
      <c r="D63" s="840"/>
      <c r="E63" s="841"/>
      <c r="F63" s="852" t="s">
        <v>611</v>
      </c>
      <c r="G63" s="853"/>
      <c r="H63" s="854"/>
      <c r="I63" s="82"/>
    </row>
    <row r="64" spans="1:10" ht="12" thickBot="1" x14ac:dyDescent="0.25">
      <c r="J64" s="81"/>
    </row>
    <row r="65" spans="1:8" ht="15" customHeight="1" thickBot="1" x14ac:dyDescent="0.25">
      <c r="A65" s="736" t="str">
        <f>IF(L!$B$364=2,L!B443,L!C443)</f>
        <v>СПИСОК ФИЛИАЛОВ</v>
      </c>
      <c r="B65" s="737"/>
      <c r="C65" s="737"/>
      <c r="D65" s="737"/>
      <c r="E65" s="737"/>
      <c r="F65" s="737"/>
      <c r="G65" s="737"/>
      <c r="H65" s="738"/>
    </row>
    <row r="66" spans="1:8" ht="24" customHeight="1" x14ac:dyDescent="0.2">
      <c r="A66" s="859" t="str">
        <f>IF(L!$B$364=2,L!B444,L!C444)</f>
        <v>Месторасположение</v>
      </c>
      <c r="B66" s="860"/>
      <c r="C66" s="861" t="str">
        <f>IF(L!$B$364=2,L!B445,L!C445)</f>
        <v>Дата основания/открытия</v>
      </c>
      <c r="D66" s="862"/>
      <c r="E66" s="175" t="str">
        <f>IF(L!$B$364=2,L!B446,L!C446)</f>
        <v>Количество сотрудников всего</v>
      </c>
      <c r="F66" s="863" t="str">
        <f>IF(L!$B$364=2,L!B447,L!C447)</f>
        <v>В том числе количество кредитных служащих</v>
      </c>
      <c r="G66" s="864"/>
      <c r="H66" s="865"/>
    </row>
    <row r="67" spans="1:8" ht="12.75" customHeight="1" x14ac:dyDescent="0.2">
      <c r="A67" s="837"/>
      <c r="B67" s="791"/>
      <c r="C67" s="838"/>
      <c r="D67" s="796"/>
      <c r="E67" s="186"/>
      <c r="F67" s="842"/>
      <c r="G67" s="843"/>
      <c r="H67" s="851"/>
    </row>
    <row r="68" spans="1:8" ht="12.75" customHeight="1" x14ac:dyDescent="0.2">
      <c r="A68" s="837"/>
      <c r="B68" s="791"/>
      <c r="C68" s="838"/>
      <c r="D68" s="796"/>
      <c r="E68" s="186"/>
      <c r="F68" s="842"/>
      <c r="G68" s="843"/>
      <c r="H68" s="851"/>
    </row>
    <row r="69" spans="1:8" ht="12.75" customHeight="1" x14ac:dyDescent="0.2">
      <c r="A69" s="837"/>
      <c r="B69" s="791"/>
      <c r="C69" s="838"/>
      <c r="D69" s="796"/>
      <c r="E69" s="186"/>
      <c r="F69" s="842"/>
      <c r="G69" s="843"/>
      <c r="H69" s="851"/>
    </row>
    <row r="70" spans="1:8" x14ac:dyDescent="0.2">
      <c r="A70" s="837"/>
      <c r="B70" s="791"/>
      <c r="C70" s="838"/>
      <c r="D70" s="796"/>
      <c r="E70" s="186"/>
      <c r="F70" s="842"/>
      <c r="G70" s="843"/>
      <c r="H70" s="851"/>
    </row>
    <row r="71" spans="1:8" x14ac:dyDescent="0.2">
      <c r="A71" s="837"/>
      <c r="B71" s="791"/>
      <c r="C71" s="838"/>
      <c r="D71" s="796"/>
      <c r="E71" s="186"/>
      <c r="F71" s="842"/>
      <c r="G71" s="843"/>
      <c r="H71" s="851"/>
    </row>
    <row r="72" spans="1:8" x14ac:dyDescent="0.2">
      <c r="A72" s="837"/>
      <c r="B72" s="791"/>
      <c r="C72" s="838"/>
      <c r="D72" s="796"/>
      <c r="E72" s="186"/>
      <c r="F72" s="842"/>
      <c r="G72" s="843"/>
      <c r="H72" s="851"/>
    </row>
    <row r="73" spans="1:8" x14ac:dyDescent="0.2">
      <c r="A73" s="837"/>
      <c r="B73" s="791"/>
      <c r="C73" s="838"/>
      <c r="D73" s="796"/>
      <c r="E73" s="186"/>
      <c r="F73" s="842"/>
      <c r="G73" s="843"/>
      <c r="H73" s="851"/>
    </row>
    <row r="74" spans="1:8" x14ac:dyDescent="0.2">
      <c r="A74" s="837"/>
      <c r="B74" s="791"/>
      <c r="C74" s="838"/>
      <c r="D74" s="796"/>
      <c r="E74" s="186"/>
      <c r="F74" s="842"/>
      <c r="G74" s="843"/>
      <c r="H74" s="851"/>
    </row>
    <row r="75" spans="1:8" x14ac:dyDescent="0.2">
      <c r="A75" s="837"/>
      <c r="B75" s="791"/>
      <c r="C75" s="838"/>
      <c r="D75" s="796"/>
      <c r="E75" s="186"/>
      <c r="F75" s="842"/>
      <c r="G75" s="843"/>
      <c r="H75" s="851"/>
    </row>
    <row r="76" spans="1:8" x14ac:dyDescent="0.2">
      <c r="A76" s="837"/>
      <c r="B76" s="791"/>
      <c r="C76" s="838"/>
      <c r="D76" s="796"/>
      <c r="E76" s="186"/>
      <c r="F76" s="842"/>
      <c r="G76" s="843"/>
      <c r="H76" s="851"/>
    </row>
    <row r="77" spans="1:8" x14ac:dyDescent="0.2">
      <c r="A77" s="837"/>
      <c r="B77" s="791"/>
      <c r="C77" s="838"/>
      <c r="D77" s="796"/>
      <c r="E77" s="186"/>
      <c r="F77" s="842"/>
      <c r="G77" s="843"/>
      <c r="H77" s="851"/>
    </row>
    <row r="78" spans="1:8" x14ac:dyDescent="0.2">
      <c r="A78" s="837"/>
      <c r="B78" s="791"/>
      <c r="C78" s="838"/>
      <c r="D78" s="796"/>
      <c r="E78" s="186"/>
      <c r="F78" s="842"/>
      <c r="G78" s="843"/>
      <c r="H78" s="851"/>
    </row>
    <row r="79" spans="1:8" x14ac:dyDescent="0.2">
      <c r="A79" s="837"/>
      <c r="B79" s="791"/>
      <c r="C79" s="838"/>
      <c r="D79" s="796"/>
      <c r="E79" s="186"/>
      <c r="F79" s="842"/>
      <c r="G79" s="843"/>
      <c r="H79" s="851"/>
    </row>
    <row r="80" spans="1:8" x14ac:dyDescent="0.2">
      <c r="A80" s="837"/>
      <c r="B80" s="791"/>
      <c r="C80" s="838"/>
      <c r="D80" s="796"/>
      <c r="E80" s="186"/>
      <c r="F80" s="842"/>
      <c r="G80" s="843"/>
      <c r="H80" s="851"/>
    </row>
    <row r="81" spans="1:13" x14ac:dyDescent="0.2">
      <c r="A81" s="837"/>
      <c r="B81" s="791"/>
      <c r="C81" s="838"/>
      <c r="D81" s="796"/>
      <c r="E81" s="186"/>
      <c r="F81" s="842"/>
      <c r="G81" s="843"/>
      <c r="H81" s="851"/>
    </row>
    <row r="82" spans="1:13" ht="12.75" customHeight="1" x14ac:dyDescent="0.2">
      <c r="A82" s="837"/>
      <c r="B82" s="791"/>
      <c r="C82" s="838"/>
      <c r="D82" s="796"/>
      <c r="E82" s="186"/>
      <c r="F82" s="842"/>
      <c r="G82" s="843"/>
      <c r="H82" s="851"/>
    </row>
    <row r="83" spans="1:13" ht="12.75" customHeight="1" x14ac:dyDescent="0.2">
      <c r="A83" s="837"/>
      <c r="B83" s="791"/>
      <c r="C83" s="838"/>
      <c r="D83" s="796"/>
      <c r="E83" s="186"/>
      <c r="F83" s="842"/>
      <c r="G83" s="843"/>
      <c r="H83" s="851"/>
    </row>
    <row r="84" spans="1:13" ht="12.75" customHeight="1" x14ac:dyDescent="0.2">
      <c r="A84" s="837"/>
      <c r="B84" s="791"/>
      <c r="C84" s="838"/>
      <c r="D84" s="796"/>
      <c r="E84" s="186"/>
      <c r="F84" s="842"/>
      <c r="G84" s="843"/>
      <c r="H84" s="851"/>
    </row>
    <row r="85" spans="1:13" ht="12.75" customHeight="1" x14ac:dyDescent="0.2">
      <c r="A85" s="837"/>
      <c r="B85" s="791"/>
      <c r="C85" s="838"/>
      <c r="D85" s="796"/>
      <c r="E85" s="186"/>
      <c r="F85" s="842"/>
      <c r="G85" s="843"/>
      <c r="H85" s="851"/>
      <c r="I85" s="81"/>
    </row>
    <row r="86" spans="1:13" ht="13.5" customHeight="1" thickBot="1" x14ac:dyDescent="0.25">
      <c r="A86" s="868" t="str">
        <f>IF(L!$B$364=2,L!B434,L!C434)</f>
        <v>Итого:</v>
      </c>
      <c r="B86" s="867"/>
      <c r="C86" s="866" t="s">
        <v>611</v>
      </c>
      <c r="D86" s="867"/>
      <c r="E86" s="176">
        <f>SUM(E67:E85)</f>
        <v>0</v>
      </c>
      <c r="F86" s="839">
        <f>SUM(F67:H85)</f>
        <v>0</v>
      </c>
      <c r="G86" s="840"/>
      <c r="H86" s="858"/>
    </row>
    <row r="87" spans="1:13" x14ac:dyDescent="0.2">
      <c r="A87" s="12"/>
      <c r="B87" s="12"/>
      <c r="C87" s="12"/>
      <c r="D87" s="12"/>
      <c r="E87" s="12"/>
      <c r="F87" s="12"/>
      <c r="G87" s="137"/>
      <c r="H87" s="137"/>
    </row>
    <row r="88" spans="1:13" ht="12" thickBot="1" x14ac:dyDescent="0.25">
      <c r="A88" s="12"/>
      <c r="B88" s="12"/>
      <c r="C88" s="12"/>
      <c r="D88" s="12"/>
      <c r="E88" s="12"/>
      <c r="F88" s="12"/>
      <c r="G88" s="137"/>
      <c r="H88" s="137"/>
    </row>
    <row r="89" spans="1:13" x14ac:dyDescent="0.2">
      <c r="A89" s="736" t="str">
        <f>IF(L!$B$364=2,L!B449,L!C449)</f>
        <v>ИНФОРМАЦИЯ О ФИНАНСОВОЙ ОТЧЕТНОСТИ И ВНЕШНЕЙ ОЦЕНКЕ ДЕЯТЕЛЬНОСТИ</v>
      </c>
      <c r="B89" s="737"/>
      <c r="C89" s="737"/>
      <c r="D89" s="737"/>
      <c r="E89" s="737"/>
      <c r="F89" s="737"/>
      <c r="G89" s="737"/>
      <c r="H89" s="738"/>
    </row>
    <row r="90" spans="1:13" ht="46.5" customHeight="1" x14ac:dyDescent="0.2">
      <c r="A90" s="856" t="str">
        <f>IF(L!$B$364=2,L!B450,L!C450)</f>
        <v>Введите, пожалуйста, ниже даты, на которые будут предоставлены финансовые отчеты, начиная с последней отчетной даты и далее за последние пять лет. Также представьте информацию об аудиторских компаниях, которые проводили внешний аудит финансовой отчетности Вашей организации за последние пять лет и на последнюю отчетную дату, а также о компаниях которые проводили рейтинг/оценку Вашей деятельности (если таковые имеются).</v>
      </c>
      <c r="B90" s="742"/>
      <c r="C90" s="742"/>
      <c r="D90" s="742"/>
      <c r="E90" s="742"/>
      <c r="F90" s="742"/>
      <c r="G90" s="742"/>
      <c r="H90" s="857"/>
    </row>
    <row r="91" spans="1:13" ht="67.5" customHeight="1" x14ac:dyDescent="0.2">
      <c r="A91" s="218" t="str">
        <f>IF(L!$B$364=2,L!B451,L!C451)</f>
        <v>Даты финансовых отчетов (начиная с последней отчетной даты и далее последние пять лет)</v>
      </c>
      <c r="B91" s="221" t="str">
        <f>IF(L!$B$364=2,L!B452,L!C452)</f>
        <v>Проводился ли аудит отчетности за период указанный слева?</v>
      </c>
      <c r="C91" s="869" t="str">
        <f>IF(L!$B$364=2,L!B453,L!C453)</f>
        <v>Если "Да", то какой аудиторской компанией?</v>
      </c>
      <c r="D91" s="869"/>
      <c r="E91" s="221" t="str">
        <f>IF(L!$B$364=2,L!B454,L!C454)</f>
        <v>Проводилась ли рейтинговая оценка за период указанный слева?</v>
      </c>
      <c r="F91" s="872" t="str">
        <f>IF(L!$B$364=2,L!B455,L!C455)</f>
        <v>Если "Да", то какой рейтинговой компанией?</v>
      </c>
      <c r="G91" s="873"/>
      <c r="H91" s="874"/>
    </row>
    <row r="92" spans="1:13" ht="12.75" x14ac:dyDescent="0.2">
      <c r="A92" s="232"/>
      <c r="B92" s="226"/>
      <c r="C92" s="821"/>
      <c r="D92" s="821"/>
      <c r="E92" s="226"/>
      <c r="F92" s="789"/>
      <c r="G92" s="790"/>
      <c r="H92" s="793"/>
      <c r="I92" s="234" t="str">
        <f ca="1">IF(AND(A92&gt;0,L!B390&lt;&gt;A92),"ВНИМАНИЕ ОШИБКА!!! Последней отчетной датой является - ","")</f>
        <v/>
      </c>
      <c r="K92" s="246"/>
      <c r="L92" s="236" t="str">
        <f ca="1">IF(AND(A92&gt;0,L!B390&lt;&gt;A92),L!B390,"")</f>
        <v/>
      </c>
      <c r="M92" s="242">
        <f ca="1">IF(OR(MONTH(TODAY())=1,MONTH(TODAY())=3,MONTH(TODAY())=5,MONTH(TODAY())=7,MONTH(TODAY())=8,MONTH(TODAY())=10,MONTH(TODAY())=12),DATE(YEAR(TODAY()),MONTH(TODAY()),DAY(31)-31),IF(MONTH(TODAY())=2,DATE(YEAR(TODAY()),MONTH(TODAY()),DAY(28)-28),IF(OR(MONTH(TODAY())=4,MONTH(TODAY())=6,MONTH(TODAY())=9,MONTH(TODAY())=11),DATE(YEAR(TODAY()),MONTH(TODAY()),DAY(30)-30),0)))</f>
        <v>42674</v>
      </c>
    </row>
    <row r="93" spans="1:13" ht="12.75" x14ac:dyDescent="0.2">
      <c r="A93" s="232" t="str">
        <f>IF(A92="","",DATE(YEAR(A92),MONTH(A92)=12-12,DAY(31)))</f>
        <v/>
      </c>
      <c r="B93" s="226"/>
      <c r="C93" s="789"/>
      <c r="D93" s="791"/>
      <c r="E93" s="226"/>
      <c r="F93" s="789"/>
      <c r="G93" s="790"/>
      <c r="H93" s="793"/>
      <c r="I93" s="234"/>
      <c r="K93" s="246"/>
      <c r="L93" s="236"/>
      <c r="M93" s="242"/>
    </row>
    <row r="94" spans="1:13" ht="12.75" x14ac:dyDescent="0.2">
      <c r="A94" s="232" t="str">
        <f>IF(A93="","",DATE(YEAR(A93),MONTH(A93)=12-12,DAY(31)))</f>
        <v/>
      </c>
      <c r="B94" s="226"/>
      <c r="C94" s="789"/>
      <c r="D94" s="791"/>
      <c r="E94" s="226"/>
      <c r="F94" s="789"/>
      <c r="G94" s="790"/>
      <c r="H94" s="793"/>
      <c r="I94" s="234"/>
      <c r="K94" s="246"/>
      <c r="L94" s="236"/>
      <c r="M94" s="242"/>
    </row>
    <row r="95" spans="1:13" x14ac:dyDescent="0.2">
      <c r="A95" s="232" t="str">
        <f>IF(A94="","",DATE(YEAR(A94),MONTH(A94)=12-12,DAY(31)))</f>
        <v/>
      </c>
      <c r="B95" s="226"/>
      <c r="C95" s="821"/>
      <c r="D95" s="821"/>
      <c r="E95" s="226"/>
      <c r="F95" s="789"/>
      <c r="G95" s="790"/>
      <c r="H95" s="793"/>
      <c r="I95" s="247"/>
      <c r="M95" s="243">
        <f ca="1">IF(M92="","",DATE(YEAR(M92),MONTH(M92)=12-12,DAY(31)))</f>
        <v>42369</v>
      </c>
    </row>
    <row r="96" spans="1:13" x14ac:dyDescent="0.2">
      <c r="A96" s="232" t="str">
        <f>IF(A95="","",DATE(YEAR(A95),MONTH(A95)=12-12,DAY(31)))</f>
        <v/>
      </c>
      <c r="B96" s="226"/>
      <c r="C96" s="821"/>
      <c r="D96" s="821"/>
      <c r="E96" s="226"/>
      <c r="F96" s="789"/>
      <c r="G96" s="790"/>
      <c r="H96" s="793"/>
      <c r="M96" s="243">
        <f ca="1">IF(M95="","",DATE(YEAR(M95),MONTH(M95)=12-12,DAY(31)))</f>
        <v>42004</v>
      </c>
    </row>
    <row r="97" spans="1:13" ht="12" thickBot="1" x14ac:dyDescent="0.25">
      <c r="A97" s="241" t="str">
        <f>IF(A96="","",DATE(YEAR(A96),MONTH(A96)=12-12,DAY(31)))</f>
        <v/>
      </c>
      <c r="B97" s="235"/>
      <c r="C97" s="804"/>
      <c r="D97" s="804"/>
      <c r="E97" s="235"/>
      <c r="F97" s="807"/>
      <c r="G97" s="808"/>
      <c r="H97" s="809"/>
      <c r="M97" s="243">
        <f ca="1">IF(M96="","",DATE(YEAR(M96),MONTH(M96)=12-12,DAY(31)))</f>
        <v>41639</v>
      </c>
    </row>
    <row r="98" spans="1:13" x14ac:dyDescent="0.2">
      <c r="A98" s="12"/>
      <c r="B98" s="12"/>
      <c r="C98" s="12"/>
      <c r="D98" s="12"/>
      <c r="E98" s="12"/>
      <c r="F98" s="12"/>
      <c r="G98" s="137"/>
      <c r="H98" s="137"/>
    </row>
    <row r="99" spans="1:13" ht="12" thickBot="1" x14ac:dyDescent="0.25">
      <c r="A99" s="12"/>
      <c r="B99" s="12"/>
      <c r="C99" s="12"/>
      <c r="D99" s="12"/>
      <c r="E99" s="12"/>
      <c r="F99" s="12"/>
      <c r="G99" s="137"/>
      <c r="H99" s="137"/>
    </row>
    <row r="100" spans="1:13" ht="12" customHeight="1" x14ac:dyDescent="0.2">
      <c r="A100" s="736" t="str">
        <f>IF(L!$B$364=2,L!B457,L!C457)</f>
        <v>ИНФОРМАЦИЯ О БАНКОВСКИХ РЕКВИЗИТАХ ОРГАНИЗАЦИИ</v>
      </c>
      <c r="B100" s="737"/>
      <c r="C100" s="737"/>
      <c r="D100" s="737"/>
      <c r="E100" s="737"/>
      <c r="F100" s="737"/>
      <c r="G100" s="737"/>
      <c r="H100" s="738"/>
      <c r="I100" s="84"/>
    </row>
    <row r="101" spans="1:13" ht="35.25" customHeight="1" thickBot="1" x14ac:dyDescent="0.25">
      <c r="A101" s="856" t="str">
        <f>IF(L!$B$364=2,L!B458,L!C458)</f>
        <v xml:space="preserve">Укажите, пожалуйста, банковские реквизиты, которыми пользуется Ваша организация, куда будут перечислены денежные средства по кредиту от ОсОО «МКК «Фронтиэрс», в случае положительного решения Кредитного Комитета относительно Вашей заявки на кредит. </v>
      </c>
      <c r="B101" s="742"/>
      <c r="C101" s="742"/>
      <c r="D101" s="742"/>
      <c r="E101" s="742"/>
      <c r="F101" s="742"/>
      <c r="G101" s="742"/>
      <c r="H101" s="857"/>
    </row>
    <row r="102" spans="1:13" ht="12.75" customHeight="1" x14ac:dyDescent="0.2">
      <c r="A102" s="802" t="str">
        <f>IF(L!$B$364=2,L!B459,L!C459)</f>
        <v>Наименование Банка:</v>
      </c>
      <c r="B102" s="803"/>
      <c r="C102" s="875"/>
      <c r="D102" s="876"/>
      <c r="E102" s="876"/>
      <c r="F102" s="876"/>
      <c r="G102" s="876"/>
      <c r="H102" s="877"/>
    </row>
    <row r="103" spans="1:13" x14ac:dyDescent="0.2">
      <c r="A103" s="805" t="str">
        <f>IF(L!$B$364=2,L!B460,L!C460)</f>
        <v>Адрес Банка:</v>
      </c>
      <c r="B103" s="806"/>
      <c r="C103" s="878"/>
      <c r="D103" s="879"/>
      <c r="E103" s="879"/>
      <c r="F103" s="879"/>
      <c r="G103" s="879"/>
      <c r="H103" s="880"/>
    </row>
    <row r="104" spans="1:13" x14ac:dyDescent="0.2">
      <c r="A104" s="805" t="str">
        <f>IF(L!$B$364=2,L!B461,L!C461)</f>
        <v>Номер банковского счета:</v>
      </c>
      <c r="B104" s="806"/>
      <c r="C104" s="799"/>
      <c r="D104" s="800"/>
      <c r="E104" s="800"/>
      <c r="F104" s="800"/>
      <c r="G104" s="800"/>
      <c r="H104" s="801"/>
    </row>
    <row r="105" spans="1:13" x14ac:dyDescent="0.2">
      <c r="A105" s="805" t="str">
        <f>IF(L!$B$364=2,L!B462,L!C462)</f>
        <v>БИК (SWIFT):</v>
      </c>
      <c r="B105" s="806"/>
      <c r="C105" s="799"/>
      <c r="D105" s="800"/>
      <c r="E105" s="800"/>
      <c r="F105" s="800"/>
      <c r="G105" s="800"/>
      <c r="H105" s="801"/>
    </row>
    <row r="106" spans="1:13" ht="11.25" customHeight="1" x14ac:dyDescent="0.2">
      <c r="A106" s="805" t="str">
        <f>IF(L!$B$364=2,L!B463,L!C463)</f>
        <v>Наименование банка-корреспондента:</v>
      </c>
      <c r="B106" s="806"/>
      <c r="C106" s="870"/>
      <c r="D106" s="828"/>
      <c r="E106" s="828"/>
      <c r="F106" s="828"/>
      <c r="G106" s="828"/>
      <c r="H106" s="871"/>
    </row>
    <row r="107" spans="1:13" ht="11.25" customHeight="1" x14ac:dyDescent="0.2">
      <c r="A107" s="805" t="str">
        <f>IF(L!$B$364=2,L!B464,L!C464)</f>
        <v>SWIFT  банка-корреспондента:</v>
      </c>
      <c r="B107" s="806"/>
      <c r="C107" s="799"/>
      <c r="D107" s="800"/>
      <c r="E107" s="800"/>
      <c r="F107" s="800"/>
      <c r="G107" s="800"/>
      <c r="H107" s="801"/>
      <c r="I107" s="85"/>
    </row>
    <row r="108" spans="1:13" ht="22.5" customHeight="1" x14ac:dyDescent="0.2">
      <c r="A108" s="805" t="str">
        <f>IF(L!$B$364=2,L!B465,L!C465)</f>
        <v>Корреспондентский счет банка-корреспондента:</v>
      </c>
      <c r="B108" s="806"/>
      <c r="C108" s="799"/>
      <c r="D108" s="800"/>
      <c r="E108" s="800"/>
      <c r="F108" s="800"/>
      <c r="G108" s="800"/>
      <c r="H108" s="801"/>
    </row>
    <row r="109" spans="1:13" ht="4.5" customHeight="1" x14ac:dyDescent="0.2">
      <c r="A109" s="797"/>
      <c r="B109" s="798"/>
      <c r="C109" s="870"/>
      <c r="D109" s="828"/>
      <c r="E109" s="828"/>
      <c r="F109" s="828"/>
      <c r="G109" s="828"/>
      <c r="H109" s="871"/>
      <c r="J109" s="81"/>
    </row>
    <row r="110" spans="1:13" ht="37.5" customHeight="1" x14ac:dyDescent="0.2">
      <c r="A110" s="886" t="str">
        <f>IF(L!$B$364=2,L!B467,L!C467)</f>
        <v>ФИО лица, имеющего право первой подписи в организации, а также право распоряжаться банковским счетом:</v>
      </c>
      <c r="B110" s="887"/>
      <c r="C110" s="799"/>
      <c r="D110" s="800"/>
      <c r="E110" s="800"/>
      <c r="F110" s="800"/>
      <c r="G110" s="800"/>
      <c r="H110" s="801"/>
    </row>
    <row r="111" spans="1:13" ht="46.5" customHeight="1" x14ac:dyDescent="0.2">
      <c r="A111" s="881" t="str">
        <f>IF(L!$B$364=2,L!B468,L!C468)</f>
        <v xml:space="preserve">Паспортные данные лица, имеющего право первой подписи в организации (номер паспорта, кем и когда выдан): </v>
      </c>
      <c r="B111" s="882"/>
      <c r="C111" s="749"/>
      <c r="D111" s="750"/>
      <c r="E111" s="750"/>
      <c r="F111" s="750"/>
      <c r="G111" s="750"/>
      <c r="H111" s="751"/>
    </row>
    <row r="112" spans="1:13" ht="40.5" customHeight="1" thickBot="1" x14ac:dyDescent="0.25">
      <c r="A112" s="759" t="str">
        <f>IF(L!$B$364=2,L!B469,L!C469)</f>
        <v>Прим. для граждан Кыргызской Республики: укажите, пожалуйста, образец паспорта, например паспорт образца 1994 года, 2004 года, ID-карта (внутренний паспорт)</v>
      </c>
      <c r="B112" s="760"/>
      <c r="C112" s="752"/>
      <c r="D112" s="753"/>
      <c r="E112" s="753"/>
      <c r="F112" s="753"/>
      <c r="G112" s="753"/>
      <c r="H112" s="754"/>
    </row>
    <row r="113" spans="1:11" x14ac:dyDescent="0.2">
      <c r="A113" s="138"/>
      <c r="B113" s="758"/>
      <c r="C113" s="758"/>
      <c r="D113" s="758"/>
      <c r="E113" s="758"/>
      <c r="F113" s="758"/>
      <c r="G113" s="758"/>
      <c r="H113" s="758"/>
    </row>
    <row r="114" spans="1:11" ht="12" thickBot="1" x14ac:dyDescent="0.25"/>
    <row r="115" spans="1:11" ht="12" thickBot="1" x14ac:dyDescent="0.25">
      <c r="A115" s="736" t="str">
        <f>IF(L!$B$364=2,L!B471,L!C471)</f>
        <v>ЗАПРОС НА ПОЛУЧЕНИЕ КРЕДИТА</v>
      </c>
      <c r="B115" s="737"/>
      <c r="C115" s="737"/>
      <c r="D115" s="737"/>
      <c r="E115" s="737"/>
      <c r="F115" s="737"/>
      <c r="G115" s="737"/>
      <c r="H115" s="738"/>
    </row>
    <row r="116" spans="1:11" ht="23.25" thickBot="1" x14ac:dyDescent="0.25">
      <c r="A116" s="245" t="str">
        <f>IF(L!$B$364=2,L!B472,L!C472)</f>
        <v>Размер требуемого кредита:</v>
      </c>
      <c r="B116" s="909"/>
      <c r="C116" s="910"/>
      <c r="D116" s="743" t="str">
        <f>IF(L!$B$364=2,L!B474,L!C474)</f>
        <v>Запрашиваемый срок кредита (в месяцах):</v>
      </c>
      <c r="E116" s="744"/>
      <c r="F116" s="745"/>
      <c r="G116" s="911"/>
      <c r="H116" s="912"/>
      <c r="I116" s="248" t="str">
        <f>IF(AND(G116&lt;&gt;"",ISNUMBER(G116)=FALSE),"Введите, пожалуйста, количество в числовом выражении, просто цифру!","")</f>
        <v/>
      </c>
    </row>
    <row r="117" spans="1:11" ht="23.25" thickBot="1" x14ac:dyDescent="0.25">
      <c r="A117" s="245" t="str">
        <f>IF(L!$B$364=2,L!B473,L!C473)</f>
        <v>Размер требуемого кредита (прописью):</v>
      </c>
      <c r="B117" s="777"/>
      <c r="C117" s="776"/>
      <c r="D117" s="743" t="str">
        <f>IF(L!$B$364=2,L!B475,L!C475)</f>
        <v>Цель кредита:</v>
      </c>
      <c r="E117" s="745"/>
      <c r="F117" s="774"/>
      <c r="G117" s="775"/>
      <c r="H117" s="776"/>
    </row>
    <row r="118" spans="1:11" ht="45.75" customHeight="1" thickBot="1" x14ac:dyDescent="0.25">
      <c r="A118" s="743" t="str">
        <f>IF(L!$B$364=2,L!B476,L!C476)</f>
        <v>Опишите пожелания по объему и кол-ву траншей (не более трех) по запрашиваемому кредиту, а также льготного периода по погашению основного долга:</v>
      </c>
      <c r="B118" s="744"/>
      <c r="C118" s="745"/>
      <c r="D118" s="746"/>
      <c r="E118" s="747"/>
      <c r="F118" s="747"/>
      <c r="G118" s="747"/>
      <c r="H118" s="748"/>
    </row>
    <row r="119" spans="1:11" x14ac:dyDescent="0.2">
      <c r="A119" s="761" t="str">
        <f>IF(L!$B$364=2,L!B477,L!C477)</f>
        <v xml:space="preserve">Предлагаемое залоговое обеспечение* </v>
      </c>
      <c r="B119" s="762"/>
      <c r="C119" s="763"/>
      <c r="D119" s="883" t="str">
        <f>IF(L!$B$364=2,L!B478,L!C478)</f>
        <v>Примечания по залоговому обеспечению</v>
      </c>
      <c r="E119" s="884"/>
      <c r="F119" s="884"/>
      <c r="G119" s="884"/>
      <c r="H119" s="885"/>
    </row>
    <row r="120" spans="1:11" x14ac:dyDescent="0.2">
      <c r="A120" s="771" t="str">
        <f>IF(L!$B$364=2,L!B479,L!C479)</f>
        <v xml:space="preserve">             Кредитный портфель</v>
      </c>
      <c r="B120" s="772"/>
      <c r="C120" s="773"/>
      <c r="D120" s="767"/>
      <c r="E120" s="767"/>
      <c r="F120" s="767"/>
      <c r="G120" s="767"/>
      <c r="H120" s="768"/>
      <c r="J120" s="742"/>
      <c r="K120" s="742"/>
    </row>
    <row r="121" spans="1:11" ht="11.25" customHeight="1" x14ac:dyDescent="0.2">
      <c r="A121" s="888" t="str">
        <f>IF(L!$B$364=2,L!B480,L!C480)</f>
        <v xml:space="preserve">             Наличные средства на депозитных счетах</v>
      </c>
      <c r="B121" s="826"/>
      <c r="C121" s="889"/>
      <c r="D121" s="769"/>
      <c r="E121" s="769"/>
      <c r="F121" s="769"/>
      <c r="G121" s="769"/>
      <c r="H121" s="770"/>
    </row>
    <row r="122" spans="1:11" ht="12" customHeight="1" x14ac:dyDescent="0.2">
      <c r="A122" s="888" t="str">
        <f>IF(L!$B$364=2,L!B481,L!C481)</f>
        <v xml:space="preserve">            Гарантии и/или поручительства</v>
      </c>
      <c r="B122" s="826"/>
      <c r="C122" s="889"/>
      <c r="D122" s="769"/>
      <c r="E122" s="769"/>
      <c r="F122" s="769"/>
      <c r="G122" s="769"/>
      <c r="H122" s="770"/>
      <c r="J122" s="896"/>
      <c r="K122" s="896"/>
    </row>
    <row r="123" spans="1:11" ht="12.75" customHeight="1" x14ac:dyDescent="0.2">
      <c r="A123" s="888" t="str">
        <f>IF(L!$B$364=2,L!B482,L!C482)</f>
        <v xml:space="preserve">            Недвижимость (предоставьте ниже информацию)</v>
      </c>
      <c r="B123" s="826"/>
      <c r="C123" s="889"/>
      <c r="D123" s="897"/>
      <c r="E123" s="898"/>
      <c r="F123" s="898"/>
      <c r="G123" s="898"/>
      <c r="H123" s="899"/>
    </row>
    <row r="124" spans="1:11" ht="11.25" customHeight="1" x14ac:dyDescent="0.2">
      <c r="A124" s="764" t="str">
        <f>IF(L!$B$364=2,L!B483,L!C483)</f>
        <v xml:space="preserve">            Описание недвижимости: </v>
      </c>
      <c r="B124" s="765"/>
      <c r="C124" s="766"/>
      <c r="D124" s="900"/>
      <c r="E124" s="901"/>
      <c r="F124" s="901"/>
      <c r="G124" s="901"/>
      <c r="H124" s="902"/>
    </row>
    <row r="125" spans="1:11" x14ac:dyDescent="0.2">
      <c r="A125" s="764" t="str">
        <f>IF(L!$B$364=2,L!B484,L!C484)</f>
        <v xml:space="preserve">            Адрес недвижимости: </v>
      </c>
      <c r="B125" s="765"/>
      <c r="C125" s="766"/>
      <c r="D125" s="755"/>
      <c r="E125" s="756"/>
      <c r="F125" s="756"/>
      <c r="G125" s="756"/>
      <c r="H125" s="757"/>
    </row>
    <row r="126" spans="1:11" ht="11.25" customHeight="1" x14ac:dyDescent="0.2">
      <c r="A126" s="764" t="str">
        <f>IF(L!$B$364=2,L!B485,L!C485)</f>
        <v xml:space="preserve">            Примерная рыночная стоимость:</v>
      </c>
      <c r="B126" s="765"/>
      <c r="C126" s="766"/>
      <c r="D126" s="755"/>
      <c r="E126" s="756"/>
      <c r="F126" s="756"/>
      <c r="G126" s="756"/>
      <c r="H126" s="757"/>
    </row>
    <row r="127" spans="1:11" ht="11.25" customHeight="1" x14ac:dyDescent="0.2">
      <c r="A127" s="764" t="str">
        <f>IF(L!$B$364=2,L!B486,L!C486)</f>
        <v xml:space="preserve">           Ф.И.О. собственника недвижимости:</v>
      </c>
      <c r="B127" s="765"/>
      <c r="C127" s="766"/>
      <c r="D127" s="755"/>
      <c r="E127" s="756"/>
      <c r="F127" s="756"/>
      <c r="G127" s="756"/>
      <c r="H127" s="757"/>
    </row>
    <row r="128" spans="1:11" ht="11.25" customHeight="1" x14ac:dyDescent="0.2">
      <c r="A128" s="764" t="str">
        <f>IF(L!$B$364=2,L!B487,L!C487)</f>
        <v xml:space="preserve">           Отношение собственника недвижимости к ФО:</v>
      </c>
      <c r="B128" s="765"/>
      <c r="C128" s="766"/>
      <c r="D128" s="755"/>
      <c r="E128" s="756"/>
      <c r="F128" s="756"/>
      <c r="G128" s="756"/>
      <c r="H128" s="757"/>
    </row>
    <row r="129" spans="1:10" ht="11.25" customHeight="1" x14ac:dyDescent="0.2">
      <c r="A129" s="915" t="str">
        <f>IF(L!$B$364=2,L!B488,L!C488)</f>
        <v xml:space="preserve">           Прочий вид залогового обеспечения:</v>
      </c>
      <c r="B129" s="916"/>
      <c r="C129" s="917"/>
      <c r="D129" s="755"/>
      <c r="E129" s="756"/>
      <c r="F129" s="756"/>
      <c r="G129" s="756"/>
      <c r="H129" s="757"/>
    </row>
    <row r="130" spans="1:10" ht="12" customHeight="1" thickBot="1" x14ac:dyDescent="0.25">
      <c r="A130" s="903" t="str">
        <f>IF(L!$B$364=2,L!B489,L!C489)</f>
        <v>Запрашиваемые дополнительные условия</v>
      </c>
      <c r="B130" s="904"/>
      <c r="C130" s="905"/>
      <c r="D130" s="890"/>
      <c r="E130" s="890"/>
      <c r="F130" s="890"/>
      <c r="G130" s="890"/>
      <c r="H130" s="891"/>
    </row>
    <row r="131" spans="1:10" ht="46.5" customHeight="1" x14ac:dyDescent="0.2">
      <c r="A131" s="892" t="str">
        <f>IF(L!$B$364=2,L!B490,L!C490)</f>
        <v xml:space="preserve">*Примите во внимание: (1) Стоимость залогового обеспечения должна быть, как минимум, равной сумме кредита; (2) Ожидаемый срок службы предмета залога будет определен ОсОО МКК “Фронтиэрс” в процессе оценки залога; (3) Возможно потребуется официальная оценка залогового обеспечения; (4) Предоставленное имущество не должно быть заложено и не должно быть под арестом. </v>
      </c>
      <c r="B131" s="892"/>
      <c r="C131" s="892"/>
      <c r="D131" s="892"/>
      <c r="E131" s="892"/>
      <c r="F131" s="892"/>
      <c r="G131" s="892"/>
      <c r="H131" s="892"/>
    </row>
    <row r="132" spans="1:10" ht="12" thickBot="1" x14ac:dyDescent="0.25"/>
    <row r="133" spans="1:10" ht="12" thickBot="1" x14ac:dyDescent="0.25">
      <c r="A133" s="893" t="str">
        <f>IF(L!$B$364=2,L!B492,L!C492)</f>
        <v>ПРОЧЕЕ</v>
      </c>
      <c r="B133" s="894"/>
      <c r="C133" s="894"/>
      <c r="D133" s="894"/>
      <c r="E133" s="894"/>
      <c r="F133" s="894"/>
      <c r="G133" s="894"/>
      <c r="H133" s="895"/>
    </row>
    <row r="134" spans="1:10" ht="39" customHeight="1" x14ac:dyDescent="0.2">
      <c r="A134" s="906" t="str">
        <f>IF(L!$B$364=2,L!B493,L!C493)</f>
        <v xml:space="preserve">1. С момента основания, вовлекалась ли Ваша  организация в  судебный процесс в качестве ответчика или находилось ли под угрозой судебного процесса? Если "да", пожалуйста, приложите короткое объяснение этого судебного процесса, и опишите его решение. </v>
      </c>
      <c r="B134" s="907"/>
      <c r="C134" s="907"/>
      <c r="D134" s="907"/>
      <c r="E134" s="907"/>
      <c r="F134" s="908"/>
      <c r="G134" s="229" t="str">
        <f>IF(L!$B$364=2,L!D493,L!E493)</f>
        <v xml:space="preserve">Да </v>
      </c>
      <c r="H134" s="230" t="str">
        <f>IF(L!$B$364=2,L!D494,L!E494)</f>
        <v>Нет</v>
      </c>
    </row>
    <row r="135" spans="1:10" ht="26.25" customHeight="1" x14ac:dyDescent="0.2">
      <c r="A135" s="739" t="str">
        <f>IF(L!$B$364=2,L!B494,L!C494)</f>
        <v>2. С момента основания, вовлекалась ли Ваша организация в расследования или находилось ли  под угрозой расследований какого-либо государственного органа?</v>
      </c>
      <c r="B135" s="740"/>
      <c r="C135" s="740"/>
      <c r="D135" s="740"/>
      <c r="E135" s="740"/>
      <c r="F135" s="741"/>
      <c r="G135" s="181" t="str">
        <f>IF(L!$B$364=2,L!D493,L!E493)</f>
        <v xml:space="preserve">Да </v>
      </c>
      <c r="H135" s="182" t="str">
        <f>IF(L!$B$364=2,L!D494,L!E494)</f>
        <v>Нет</v>
      </c>
    </row>
    <row r="136" spans="1:10" ht="16.5" customHeight="1" x14ac:dyDescent="0.2">
      <c r="A136" s="739" t="str">
        <f>IF(L!$B$364=2,L!B495,L!C495)</f>
        <v>3. Получала ли Ваша  организация средства от какой-либо государственной структуры?</v>
      </c>
      <c r="B136" s="740"/>
      <c r="C136" s="740"/>
      <c r="D136" s="740"/>
      <c r="E136" s="740"/>
      <c r="F136" s="741"/>
      <c r="G136" s="181" t="str">
        <f>IF(L!$B$364=2,L!D493,L!E493)</f>
        <v xml:space="preserve">Да </v>
      </c>
      <c r="H136" s="182" t="str">
        <f>IF(L!$B$364=2,L!D494,L!E494)</f>
        <v>Нет</v>
      </c>
    </row>
    <row r="137" spans="1:10" ht="15" customHeight="1" x14ac:dyDescent="0.2">
      <c r="A137" s="739" t="str">
        <f>IF(L!$B$364=2,L!B496,L!C496)</f>
        <v>4. Есть ли в Правлении или штате организации представитель от государственной структуры?</v>
      </c>
      <c r="B137" s="740"/>
      <c r="C137" s="740"/>
      <c r="D137" s="740"/>
      <c r="E137" s="740"/>
      <c r="F137" s="741"/>
      <c r="G137" s="174" t="str">
        <f>IF(L!$B$364=2,L!D493,L!E493)</f>
        <v xml:space="preserve">Да </v>
      </c>
      <c r="H137" s="183" t="str">
        <f>IF(L!$B$364=2,L!D494,L!E494)</f>
        <v>Нет</v>
      </c>
    </row>
    <row r="138" spans="1:10" ht="14.25" customHeight="1" x14ac:dyDescent="0.2">
      <c r="A138" s="739" t="str">
        <f>IF(L!$B$364=2,L!B497,L!C497)</f>
        <v xml:space="preserve">5. Как давно Руководитель Вашей организации занимает свою настоящую должность?  </v>
      </c>
      <c r="B138" s="740"/>
      <c r="C138" s="740"/>
      <c r="D138" s="740"/>
      <c r="E138" s="740"/>
      <c r="F138" s="741"/>
      <c r="G138" s="913"/>
      <c r="H138" s="914"/>
    </row>
    <row r="139" spans="1:10" ht="14.25" customHeight="1" x14ac:dyDescent="0.2">
      <c r="A139" s="739" t="str">
        <f>IF(L!$B$364=2,L!B498,L!C498)</f>
        <v xml:space="preserve">6. Сколько лет опыта работы имеет Руководитель/Генеральный Директор в финансово-кредитной сфере? </v>
      </c>
      <c r="B139" s="740"/>
      <c r="C139" s="740"/>
      <c r="D139" s="740"/>
      <c r="E139" s="740"/>
      <c r="F139" s="741"/>
      <c r="G139" s="729"/>
      <c r="H139" s="730"/>
    </row>
    <row r="140" spans="1:10" ht="15" customHeight="1" x14ac:dyDescent="0.2">
      <c r="A140" s="739" t="str">
        <f>IF(L!$B$364=2,L!B499,L!C499)</f>
        <v>7. Погашены ли все налоговые обязательства? Если нет, то объясните почему.</v>
      </c>
      <c r="B140" s="740"/>
      <c r="C140" s="740"/>
      <c r="D140" s="740"/>
      <c r="E140" s="740"/>
      <c r="F140" s="741"/>
      <c r="G140" s="181" t="str">
        <f>IF(L!$B$364=2,L!D493,L!E493)</f>
        <v xml:space="preserve">Да </v>
      </c>
      <c r="H140" s="182" t="str">
        <f>IF(L!$B$364=2,L!D494,L!E494)</f>
        <v>Нет</v>
      </c>
    </row>
    <row r="141" spans="1:10" ht="22.5" customHeight="1" x14ac:dyDescent="0.2">
      <c r="A141" s="739" t="str">
        <f>IF(L!$B$364=2,L!B500,L!C500)</f>
        <v xml:space="preserve">8. Является ли Ваша организация индоссантом, поручителем или соучастником какого-либо обязательства, не включенного в финансовых отчетах? Если «Да», то каково условное обязательство? </v>
      </c>
      <c r="B141" s="740"/>
      <c r="C141" s="740"/>
      <c r="D141" s="740"/>
      <c r="E141" s="740"/>
      <c r="F141" s="741"/>
      <c r="G141" s="181" t="str">
        <f>IF(L!$B$364=2,L!D493,L!E493)</f>
        <v xml:space="preserve">Да </v>
      </c>
      <c r="H141" s="182" t="str">
        <f>IF(L!$B$364=2,L!D494,L!E494)</f>
        <v>Нет</v>
      </c>
    </row>
    <row r="142" spans="1:10" ht="24" customHeight="1" x14ac:dyDescent="0.2">
      <c r="A142" s="739" t="str">
        <f>IF(L!$B$364=2,L!B501,L!C501)</f>
        <v>9. Имеются ли у Вас какие-либо основные средства, обремененные залогом или находящиеся под арестом любого типа? Если «Да», то приложите дополнительный лист с подробным описанием.</v>
      </c>
      <c r="B142" s="740"/>
      <c r="C142" s="740"/>
      <c r="D142" s="740"/>
      <c r="E142" s="740"/>
      <c r="F142" s="741"/>
      <c r="G142" s="174" t="str">
        <f>IF(L!$B$364=2,L!D493,L!E493)</f>
        <v xml:space="preserve">Да </v>
      </c>
      <c r="H142" s="183" t="str">
        <f>IF(L!$B$364=2,L!D494,L!E494)</f>
        <v>Нет</v>
      </c>
      <c r="J142" s="88"/>
    </row>
    <row r="143" spans="1:10" ht="24" customHeight="1" thickBot="1" x14ac:dyDescent="0.25">
      <c r="A143" s="733" t="str">
        <f>IF(L!$B$364=2,L!B502,L!C502)</f>
        <v>10. Назначены ли действующие должностные лица в соответствии с Уставом организации?</v>
      </c>
      <c r="B143" s="734"/>
      <c r="C143" s="734"/>
      <c r="D143" s="734"/>
      <c r="E143" s="734"/>
      <c r="F143" s="735"/>
      <c r="G143" s="228" t="str">
        <f>IF(L!$B$364=2,L!D493,L!E493)</f>
        <v xml:space="preserve">Да </v>
      </c>
      <c r="H143" s="227" t="str">
        <f>IF(L!$B$364=2,L!D494,L!E494)</f>
        <v>Нет</v>
      </c>
      <c r="J143" s="88"/>
    </row>
    <row r="144" spans="1:10" ht="12" thickBot="1" x14ac:dyDescent="0.25">
      <c r="A144" s="141"/>
      <c r="B144" s="141"/>
      <c r="C144" s="141"/>
      <c r="D144" s="141"/>
      <c r="E144" s="141"/>
      <c r="F144" s="141"/>
    </row>
    <row r="145" spans="1:8" x14ac:dyDescent="0.2">
      <c r="A145" s="736" t="str">
        <f>IF(L!$B$364=2,L!B504,L!C504)</f>
        <v>ЗАСВИДЕТЕЛЬСТВОВАНИЕ</v>
      </c>
      <c r="B145" s="737"/>
      <c r="C145" s="737"/>
      <c r="D145" s="737"/>
      <c r="E145" s="737"/>
      <c r="F145" s="737"/>
      <c r="G145" s="737"/>
      <c r="H145" s="738"/>
    </row>
    <row r="146" spans="1:8" ht="62.25" customHeight="1" x14ac:dyDescent="0.2">
      <c r="A146" s="742" t="str">
        <f>IF(L!$B$364=2,L!B505,L!C505)</f>
        <v xml:space="preserve">Нижеподписавшийся настоящим подтверждает, что вся информация и сведения, включенные в это заявление и приложенные документы верны, полны и точны. Нижеподписавшийся согласен немедленно известить ОсОО МКК «Фронтиэрс» обо всех существенных изменениях в данной информации. Нижеподписавшийся также уполномочивает ОсОО МКК «Фронтиэрс», при необходимости, ознакомиться с деятельностью заявителя на месте, запрашивать данные о Заявителе у любого государственного, коммерческого или другого юридического лица без предварительного уведомления Заявителя.   </v>
      </c>
      <c r="B146" s="742"/>
      <c r="C146" s="742"/>
      <c r="D146" s="742"/>
      <c r="E146" s="742"/>
      <c r="F146" s="742"/>
      <c r="G146" s="742"/>
      <c r="H146" s="742"/>
    </row>
    <row r="147" spans="1:8" ht="60.75" customHeight="1" x14ac:dyDescent="0.2">
      <c r="A147" s="742" t="str">
        <f>IF(L!$B$364=2,L!B506,L!C506)</f>
        <v>Нижеподписавшийся настоящим согласен на предоставление и/или получение  ОсОО МКК "Фронтиэрс" любых  сведений об организации, в том числе информации о руководителе в/из ОЮЛ АФКУ «Кредитно-информационное бюро «Ишеним», осуществляющее формирование кредитных историй и их обмен между  финансово-кредитными учреждениями и иными юридическими лицами, в целях снижения кредитных рисков, недопущения перезадолженности и упрощения процедуры рассмотрения и предоставления кредита.</v>
      </c>
      <c r="B147" s="742"/>
      <c r="C147" s="742"/>
      <c r="D147" s="742"/>
      <c r="E147" s="742"/>
      <c r="F147" s="742"/>
      <c r="G147" s="742"/>
      <c r="H147" s="742"/>
    </row>
    <row r="150" spans="1:8" ht="23.25" customHeight="1" x14ac:dyDescent="0.2">
      <c r="A150" s="731" t="s">
        <v>128</v>
      </c>
      <c r="B150" s="731"/>
      <c r="C150" s="187"/>
      <c r="D150" s="187"/>
      <c r="E150" s="239" t="s">
        <v>13</v>
      </c>
      <c r="F150" s="187"/>
      <c r="G150" s="240" t="s">
        <v>129</v>
      </c>
      <c r="H150" s="187"/>
    </row>
    <row r="151" spans="1:8" ht="24" customHeight="1" x14ac:dyDescent="0.2">
      <c r="A151" s="732" t="str">
        <f>IF(L!$B$364=2,L!B508,L!C508)</f>
        <v xml:space="preserve">           Ф.И.О., Должность</v>
      </c>
      <c r="B151" s="732"/>
      <c r="E151" s="148" t="str">
        <f>IF(L!$B$364=2,L!B509,L!C509)</f>
        <v>Подпись, Печать</v>
      </c>
      <c r="G151" s="148" t="str">
        <f>IF(L!$B$364=2,L!B510,L!C510)</f>
        <v>Дата</v>
      </c>
    </row>
    <row r="153" spans="1:8" ht="12" thickBot="1" x14ac:dyDescent="0.25"/>
    <row r="154" spans="1:8" x14ac:dyDescent="0.2">
      <c r="A154" s="736" t="str">
        <f>IF(L!$B$364=2,L!B512,L!C512)</f>
        <v>КОНТРОЛЬНЫЙ ПЕРЕЧЕНЬ КРЕДИТНОЙ ЗАЯВКИ</v>
      </c>
      <c r="B154" s="737"/>
      <c r="C154" s="737"/>
      <c r="D154" s="737"/>
      <c r="E154" s="737"/>
      <c r="F154" s="737"/>
      <c r="G154" s="737"/>
      <c r="H154" s="738"/>
    </row>
    <row r="155" spans="1:8" ht="47.25" customHeight="1" x14ac:dyDescent="0.2">
      <c r="A155" s="728" t="str">
        <f>IF(L!$B$364=2,L!B513,L!C513)</f>
        <v xml:space="preserve">Пожалуйста, удостоверьтесь в том, что Вы заполнили все разделы данной кредитной заявки (Заявка, Обязательства, Баланс, ОПУ, ГЭП, Портфель, ПРОДУКТЫ, PAR) и приложили все ниже перечисленные документы для того, чтобы Ваша кредитная заявка была рассмотрена, иначе процесс рассмотрения Вашей кредитной заявки будет отложен до получения полного пакета документов. </v>
      </c>
      <c r="B155" s="728"/>
      <c r="C155" s="728"/>
      <c r="D155" s="728"/>
      <c r="E155" s="728"/>
      <c r="F155" s="728"/>
      <c r="G155" s="728"/>
      <c r="H155" s="728"/>
    </row>
    <row r="157" spans="1:8" x14ac:dyDescent="0.2">
      <c r="A157" s="727" t="str">
        <f>IF(L!$B$364=2,L!B515,L!C515)</f>
        <v xml:space="preserve">            Анкета клиента по ПФТ/ОД (подается при первичном обращении за кредитом и далее по мере необходимости);</v>
      </c>
      <c r="B157" s="727"/>
      <c r="C157" s="727"/>
      <c r="D157" s="727"/>
      <c r="E157" s="727"/>
      <c r="F157" s="727"/>
      <c r="G157" s="727"/>
      <c r="H157" s="727"/>
    </row>
    <row r="158" spans="1:8" ht="12.75" customHeight="1" x14ac:dyDescent="0.2">
      <c r="A158" s="88" t="str">
        <f>IF(L!$B$364=2,L!B516,L!C516)</f>
        <v xml:space="preserve">            Бизнес План;</v>
      </c>
    </row>
    <row r="159" spans="1:8" x14ac:dyDescent="0.2">
      <c r="A159" s="727" t="str">
        <f>IF(L!$B$364=2,L!B517,L!C517)</f>
        <v xml:space="preserve">            Список заемщиков на последнюю отчетную дату согласно внутренней формы организации;</v>
      </c>
      <c r="B159" s="727"/>
      <c r="C159" s="727"/>
      <c r="D159" s="727"/>
      <c r="E159" s="727"/>
      <c r="F159" s="727"/>
      <c r="G159" s="727"/>
      <c r="H159" s="727"/>
    </row>
    <row r="160" spans="1:8" x14ac:dyDescent="0.2">
      <c r="A160" s="727" t="str">
        <f>IF(L!$B$364=2,L!B518,L!C518)</f>
        <v xml:space="preserve">            Копии аудиторских отчетов за последние 3 года (при первичном обращении);</v>
      </c>
      <c r="B160" s="727"/>
      <c r="C160" s="727"/>
      <c r="D160" s="727"/>
      <c r="E160" s="727"/>
      <c r="F160" s="727"/>
      <c r="G160" s="727"/>
      <c r="H160" s="727"/>
    </row>
    <row r="161" spans="1:8" x14ac:dyDescent="0.2">
      <c r="A161" s="727" t="str">
        <f>IF(L!$B$364=2,L!B519,L!C519)</f>
        <v xml:space="preserve">            Копия кредитной и учетной политики, а также соответствующих к нему процедур;</v>
      </c>
      <c r="B161" s="727"/>
      <c r="C161" s="727"/>
      <c r="D161" s="727"/>
      <c r="E161" s="727"/>
      <c r="F161" s="727"/>
      <c r="G161" s="727"/>
      <c r="H161" s="727"/>
    </row>
    <row r="162" spans="1:8" x14ac:dyDescent="0.2">
      <c r="A162" s="727" t="str">
        <f>IF(L!$B$364=2,L!B520,L!C520)</f>
        <v xml:space="preserve">            Копия Устава, Свидетельство Министерства Юстиции о государственной регистрации юридического лица </v>
      </c>
      <c r="B162" s="727"/>
      <c r="C162" s="727"/>
      <c r="D162" s="727"/>
      <c r="E162" s="727"/>
      <c r="F162" s="727"/>
      <c r="G162" s="727"/>
      <c r="H162" s="727"/>
    </row>
    <row r="163" spans="1:8" x14ac:dyDescent="0.2">
      <c r="A163" s="727" t="str">
        <f>IF(L!$B$364=2,L!B521,L!C521)</f>
        <v xml:space="preserve">           (можно не заверенную нотариально копию);</v>
      </c>
      <c r="B163" s="727"/>
      <c r="C163" s="727"/>
      <c r="D163" s="727"/>
      <c r="E163" s="727"/>
      <c r="F163" s="727"/>
      <c r="G163" s="727"/>
      <c r="H163" s="727"/>
    </row>
    <row r="164" spans="1:8" ht="11.25" customHeight="1" x14ac:dyDescent="0.2">
      <c r="A164" s="727" t="str">
        <f>IF(L!$B$364=2,L!B522,L!C522)</f>
        <v xml:space="preserve">            Копия разрешительного документа от соответствующего государственного органа на проведение финансовых операций, </v>
      </c>
      <c r="B164" s="727"/>
      <c r="C164" s="727"/>
      <c r="D164" s="727"/>
      <c r="E164" s="727"/>
      <c r="F164" s="727"/>
      <c r="G164" s="727"/>
      <c r="H164" s="727"/>
    </row>
    <row r="165" spans="1:8" x14ac:dyDescent="0.2">
      <c r="A165" s="727" t="str">
        <f>IF(L!$B$364=2,L!B523,L!C523)</f>
        <v xml:space="preserve">            в том числе кредитных (Лицензия, Свидетельство от Национального Банка и т.д.); </v>
      </c>
      <c r="B165" s="727"/>
      <c r="C165" s="727"/>
      <c r="D165" s="727"/>
      <c r="E165" s="727"/>
      <c r="F165" s="727"/>
      <c r="G165" s="727"/>
      <c r="H165" s="727"/>
    </row>
    <row r="166" spans="1:8" x14ac:dyDescent="0.2">
      <c r="A166" s="727" t="str">
        <f>IF(L!$B$364=2,L!B524,L!C524)</f>
        <v xml:space="preserve">            Документ, подтверждающий кредитную историю (при дополнительном запросе на основании решения КК);</v>
      </c>
      <c r="B166" s="727"/>
      <c r="C166" s="727"/>
      <c r="D166" s="727"/>
      <c r="E166" s="727"/>
      <c r="F166" s="727"/>
      <c r="G166" s="727"/>
      <c r="H166" s="727"/>
    </row>
    <row r="167" spans="1:8" x14ac:dyDescent="0.2">
      <c r="A167" s="727" t="str">
        <f>IF(L!$B$364=2,L!B525,L!C525)</f>
        <v xml:space="preserve">            Справка о наличии либо отсутствии задолженности перед налоговыми органами;</v>
      </c>
      <c r="B167" s="727"/>
      <c r="C167" s="727"/>
      <c r="D167" s="727"/>
      <c r="E167" s="727"/>
      <c r="F167" s="727"/>
      <c r="G167" s="727"/>
      <c r="H167" s="727"/>
    </row>
    <row r="168" spans="1:8" x14ac:dyDescent="0.2">
      <c r="A168" s="727" t="str">
        <f>IF(L!$B$364=2,L!B526,L!C526)</f>
        <v xml:space="preserve">            Копия паспорта лица, имеющего право распоряжаться банковским счетом;</v>
      </c>
      <c r="B168" s="727"/>
      <c r="C168" s="727"/>
      <c r="D168" s="727"/>
      <c r="E168" s="727"/>
      <c r="F168" s="727"/>
      <c r="G168" s="727"/>
      <c r="H168" s="727"/>
    </row>
    <row r="169" spans="1:8" x14ac:dyDescent="0.2">
      <c r="A169" s="727" t="str">
        <f>IF(L!$B$364=2,L!B527,L!C527)</f>
        <v xml:space="preserve">            Нотариально заверенные карточки с образцами подписей лиц, имеющих право подписи (должны обновляться</v>
      </c>
      <c r="B169" s="727"/>
      <c r="C169" s="727"/>
      <c r="D169" s="727"/>
      <c r="E169" s="727"/>
      <c r="F169" s="727"/>
      <c r="G169" s="727"/>
      <c r="H169" s="727"/>
    </row>
    <row r="170" spans="1:8" x14ac:dyDescent="0.2">
      <c r="A170" s="727" t="str">
        <f>IF(L!$B$364=2,L!B528,L!C528)</f>
        <v xml:space="preserve">            в случае смены руководства); </v>
      </c>
      <c r="B170" s="727"/>
      <c r="C170" s="727"/>
      <c r="D170" s="727"/>
      <c r="E170" s="727"/>
      <c r="F170" s="727"/>
      <c r="G170" s="727"/>
      <c r="H170" s="727"/>
    </row>
    <row r="171" spans="1:8" x14ac:dyDescent="0.2">
      <c r="A171" s="727" t="str">
        <f>IF(L!$B$364=2,L!B529,L!C529)</f>
        <v xml:space="preserve">           Копия статистической карточки (если имеется);</v>
      </c>
      <c r="B171" s="727"/>
      <c r="C171" s="727"/>
      <c r="D171" s="727"/>
      <c r="E171" s="727"/>
      <c r="F171" s="727"/>
      <c r="G171" s="727"/>
      <c r="H171" s="727"/>
    </row>
    <row r="172" spans="1:8" x14ac:dyDescent="0.2">
      <c r="A172" s="727" t="str">
        <f>IF(L!$B$364=2,L!B530,L!C530)</f>
        <v xml:space="preserve">           Копия регистрационной карточки, выданной налоговым органом;</v>
      </c>
      <c r="B172" s="727"/>
      <c r="C172" s="727"/>
      <c r="D172" s="727"/>
      <c r="E172" s="727"/>
      <c r="F172" s="727"/>
      <c r="G172" s="727"/>
      <c r="H172" s="727"/>
    </row>
    <row r="173" spans="1:8" ht="29.25" customHeight="1" x14ac:dyDescent="0.2">
      <c r="A173" s="727" t="str">
        <f>IF(L!$B$364=2,L!B531,L!C531)</f>
        <v xml:space="preserve">           Копия паспорта участников (из числа физических лиц)/копия Устава, Свидетельство Министерства Юстиции о государственной регистрации юридического лица (из числа юридических лиц);</v>
      </c>
      <c r="B173" s="727"/>
      <c r="C173" s="727"/>
      <c r="D173" s="727"/>
      <c r="E173" s="727"/>
      <c r="F173" s="727"/>
      <c r="G173" s="727"/>
      <c r="H173" s="727"/>
    </row>
    <row r="174" spans="1:8" x14ac:dyDescent="0.2">
      <c r="A174" s="727" t="str">
        <f>IF(L!$B$364=2,L!B532,L!C532)</f>
        <v xml:space="preserve">           Решение о назначении членов органов управления;</v>
      </c>
      <c r="B174" s="727"/>
      <c r="C174" s="727"/>
      <c r="D174" s="727"/>
      <c r="E174" s="727"/>
      <c r="F174" s="727"/>
      <c r="G174" s="727"/>
      <c r="H174" s="727"/>
    </row>
    <row r="175" spans="1:8" ht="24" customHeight="1" x14ac:dyDescent="0.2">
      <c r="A175" s="727" t="str">
        <f>IF(L!$B$364=2,L!B533,L!C533)</f>
        <v xml:space="preserve">          Заявление-согласие на предоставление и/или получение  ОсОО МКК "Фронтиэрс" любых  сведений об организации, в том числе информации о руководителе в/из ОЮЛ АФКУ «Кредитно-информационное бюро «Ишеним»;</v>
      </c>
      <c r="B175" s="727"/>
      <c r="C175" s="727"/>
      <c r="D175" s="727"/>
      <c r="E175" s="727"/>
      <c r="F175" s="727"/>
      <c r="G175" s="727"/>
      <c r="H175" s="727"/>
    </row>
    <row r="247" spans="1:1" hidden="1" x14ac:dyDescent="0.2">
      <c r="A247" s="152" t="s">
        <v>472</v>
      </c>
    </row>
    <row r="248" spans="1:1" hidden="1" x14ac:dyDescent="0.2">
      <c r="A248" s="152" t="s">
        <v>473</v>
      </c>
    </row>
    <row r="249" spans="1:1" hidden="1" x14ac:dyDescent="0.2">
      <c r="A249" s="21" t="s">
        <v>474</v>
      </c>
    </row>
    <row r="250" spans="1:1" hidden="1" x14ac:dyDescent="0.2">
      <c r="A250" s="21" t="s">
        <v>475</v>
      </c>
    </row>
    <row r="251" spans="1:1" hidden="1" x14ac:dyDescent="0.2">
      <c r="A251" s="21" t="s">
        <v>620</v>
      </c>
    </row>
    <row r="253" spans="1:1" hidden="1" x14ac:dyDescent="0.2">
      <c r="A253" s="28" t="str">
        <f>L!B386</f>
        <v>Да</v>
      </c>
    </row>
    <row r="254" spans="1:1" hidden="1" x14ac:dyDescent="0.2">
      <c r="A254" s="28" t="str">
        <f>L!B387</f>
        <v>Нет</v>
      </c>
    </row>
  </sheetData>
  <sheetProtection password="8FDE" sheet="1" formatCells="0" formatColumns="0" formatRows="0" insertRows="0"/>
  <mergeCells count="275">
    <mergeCell ref="A136:F136"/>
    <mergeCell ref="A137:F137"/>
    <mergeCell ref="G138:H138"/>
    <mergeCell ref="A142:F142"/>
    <mergeCell ref="D129:H129"/>
    <mergeCell ref="A129:C129"/>
    <mergeCell ref="A160:H160"/>
    <mergeCell ref="B49:E49"/>
    <mergeCell ref="B50:E50"/>
    <mergeCell ref="B51:E51"/>
    <mergeCell ref="B52:E52"/>
    <mergeCell ref="F53:H53"/>
    <mergeCell ref="F54:H54"/>
    <mergeCell ref="F55:H55"/>
    <mergeCell ref="F56:H56"/>
    <mergeCell ref="F57:H57"/>
    <mergeCell ref="B53:E53"/>
    <mergeCell ref="B54:E54"/>
    <mergeCell ref="B55:E55"/>
    <mergeCell ref="B56:E56"/>
    <mergeCell ref="B57:E57"/>
    <mergeCell ref="F49:H49"/>
    <mergeCell ref="F50:H50"/>
    <mergeCell ref="F51:H51"/>
    <mergeCell ref="C110:H110"/>
    <mergeCell ref="A111:B111"/>
    <mergeCell ref="D116:F116"/>
    <mergeCell ref="D119:H119"/>
    <mergeCell ref="A110:B110"/>
    <mergeCell ref="J120:K120"/>
    <mergeCell ref="A122:C122"/>
    <mergeCell ref="A138:F138"/>
    <mergeCell ref="D130:H130"/>
    <mergeCell ref="A131:H131"/>
    <mergeCell ref="A133:H133"/>
    <mergeCell ref="J122:K122"/>
    <mergeCell ref="A121:C121"/>
    <mergeCell ref="A127:C127"/>
    <mergeCell ref="A128:C128"/>
    <mergeCell ref="A124:C124"/>
    <mergeCell ref="D123:H124"/>
    <mergeCell ref="A123:C123"/>
    <mergeCell ref="D127:H127"/>
    <mergeCell ref="A130:C130"/>
    <mergeCell ref="A135:F135"/>
    <mergeCell ref="A134:F134"/>
    <mergeCell ref="B116:C116"/>
    <mergeCell ref="G116:H116"/>
    <mergeCell ref="C109:H109"/>
    <mergeCell ref="F80:H80"/>
    <mergeCell ref="F78:H78"/>
    <mergeCell ref="F79:H79"/>
    <mergeCell ref="C79:D79"/>
    <mergeCell ref="F81:H81"/>
    <mergeCell ref="C83:D83"/>
    <mergeCell ref="F83:H83"/>
    <mergeCell ref="F85:H85"/>
    <mergeCell ref="F91:H91"/>
    <mergeCell ref="C104:H104"/>
    <mergeCell ref="C105:H105"/>
    <mergeCell ref="C106:H106"/>
    <mergeCell ref="C107:H107"/>
    <mergeCell ref="A89:H89"/>
    <mergeCell ref="A105:B105"/>
    <mergeCell ref="A103:B103"/>
    <mergeCell ref="A104:B104"/>
    <mergeCell ref="C102:H102"/>
    <mergeCell ref="C103:H103"/>
    <mergeCell ref="F96:H96"/>
    <mergeCell ref="A101:H101"/>
    <mergeCell ref="A100:H100"/>
    <mergeCell ref="A106:B106"/>
    <mergeCell ref="F95:H95"/>
    <mergeCell ref="C81:D81"/>
    <mergeCell ref="F92:H92"/>
    <mergeCell ref="C92:D92"/>
    <mergeCell ref="A82:B82"/>
    <mergeCell ref="C86:D86"/>
    <mergeCell ref="A86:B86"/>
    <mergeCell ref="F82:H82"/>
    <mergeCell ref="A85:B85"/>
    <mergeCell ref="C85:D85"/>
    <mergeCell ref="F84:H84"/>
    <mergeCell ref="A83:B83"/>
    <mergeCell ref="C82:D82"/>
    <mergeCell ref="C95:D95"/>
    <mergeCell ref="C94:D94"/>
    <mergeCell ref="F93:H93"/>
    <mergeCell ref="F94:H94"/>
    <mergeCell ref="C93:D93"/>
    <mergeCell ref="C91:D91"/>
    <mergeCell ref="C96:D96"/>
    <mergeCell ref="A84:B84"/>
    <mergeCell ref="C84:D84"/>
    <mergeCell ref="A90:H90"/>
    <mergeCell ref="A81:B81"/>
    <mergeCell ref="F86:H86"/>
    <mergeCell ref="F69:H69"/>
    <mergeCell ref="A65:H65"/>
    <mergeCell ref="A66:B66"/>
    <mergeCell ref="C66:D66"/>
    <mergeCell ref="F66:H66"/>
    <mergeCell ref="F67:H67"/>
    <mergeCell ref="C72:D72"/>
    <mergeCell ref="C70:D70"/>
    <mergeCell ref="A70:B70"/>
    <mergeCell ref="A71:B71"/>
    <mergeCell ref="A76:B76"/>
    <mergeCell ref="A72:B72"/>
    <mergeCell ref="C76:D76"/>
    <mergeCell ref="C80:D80"/>
    <mergeCell ref="A67:B67"/>
    <mergeCell ref="F73:H73"/>
    <mergeCell ref="F74:H74"/>
    <mergeCell ref="F75:H75"/>
    <mergeCell ref="F58:H58"/>
    <mergeCell ref="F59:H59"/>
    <mergeCell ref="F60:H60"/>
    <mergeCell ref="A79:B79"/>
    <mergeCell ref="A80:B80"/>
    <mergeCell ref="A74:B74"/>
    <mergeCell ref="A69:B69"/>
    <mergeCell ref="C69:D69"/>
    <mergeCell ref="C71:D71"/>
    <mergeCell ref="B58:E58"/>
    <mergeCell ref="A77:B77"/>
    <mergeCell ref="C73:D73"/>
    <mergeCell ref="A73:B73"/>
    <mergeCell ref="C74:D74"/>
    <mergeCell ref="A78:B78"/>
    <mergeCell ref="F77:H77"/>
    <mergeCell ref="A75:B75"/>
    <mergeCell ref="C75:D75"/>
    <mergeCell ref="C77:D77"/>
    <mergeCell ref="C78:D78"/>
    <mergeCell ref="F76:H76"/>
    <mergeCell ref="F70:H70"/>
    <mergeCell ref="F71:H71"/>
    <mergeCell ref="F72:H72"/>
    <mergeCell ref="B44:C44"/>
    <mergeCell ref="B37:C37"/>
    <mergeCell ref="B38:C38"/>
    <mergeCell ref="B32:C32"/>
    <mergeCell ref="B33:C33"/>
    <mergeCell ref="A68:B68"/>
    <mergeCell ref="C68:D68"/>
    <mergeCell ref="B63:E63"/>
    <mergeCell ref="B59:E59"/>
    <mergeCell ref="B60:E60"/>
    <mergeCell ref="B61:E61"/>
    <mergeCell ref="B62:E62"/>
    <mergeCell ref="A48:H48"/>
    <mergeCell ref="F52:H52"/>
    <mergeCell ref="G40:H40"/>
    <mergeCell ref="C67:D67"/>
    <mergeCell ref="G44:H44"/>
    <mergeCell ref="G36:H36"/>
    <mergeCell ref="A47:H47"/>
    <mergeCell ref="F68:H68"/>
    <mergeCell ref="F61:H61"/>
    <mergeCell ref="F62:H62"/>
    <mergeCell ref="F63:H63"/>
    <mergeCell ref="B45:C45"/>
    <mergeCell ref="G43:H43"/>
    <mergeCell ref="F26:H26"/>
    <mergeCell ref="B19:D19"/>
    <mergeCell ref="F19:H19"/>
    <mergeCell ref="G31:H31"/>
    <mergeCell ref="G37:H37"/>
    <mergeCell ref="B42:C42"/>
    <mergeCell ref="G35:H35"/>
    <mergeCell ref="G38:H38"/>
    <mergeCell ref="G39:H39"/>
    <mergeCell ref="G32:H32"/>
    <mergeCell ref="G33:H33"/>
    <mergeCell ref="G34:H34"/>
    <mergeCell ref="B26:D26"/>
    <mergeCell ref="B23:D23"/>
    <mergeCell ref="F25:H25"/>
    <mergeCell ref="F23:H23"/>
    <mergeCell ref="F24:H24"/>
    <mergeCell ref="B35:C35"/>
    <mergeCell ref="A22:D22"/>
    <mergeCell ref="F18:H18"/>
    <mergeCell ref="G42:H42"/>
    <mergeCell ref="A14:H14"/>
    <mergeCell ref="B17:D17"/>
    <mergeCell ref="F17:H17"/>
    <mergeCell ref="G15:H15"/>
    <mergeCell ref="B15:D15"/>
    <mergeCell ref="B34:C34"/>
    <mergeCell ref="B36:C36"/>
    <mergeCell ref="G41:H41"/>
    <mergeCell ref="F2:H2"/>
    <mergeCell ref="F3:H3"/>
    <mergeCell ref="F4:H4"/>
    <mergeCell ref="F5:H5"/>
    <mergeCell ref="F6:H6"/>
    <mergeCell ref="F16:H16"/>
    <mergeCell ref="E15:F15"/>
    <mergeCell ref="A9:H9"/>
    <mergeCell ref="A11:H11"/>
    <mergeCell ref="A12:H12"/>
    <mergeCell ref="G45:H45"/>
    <mergeCell ref="A30:H30"/>
    <mergeCell ref="E22:H22"/>
    <mergeCell ref="A29:H29"/>
    <mergeCell ref="B25:D25"/>
    <mergeCell ref="B16:D16"/>
    <mergeCell ref="F20:H20"/>
    <mergeCell ref="B21:D21"/>
    <mergeCell ref="A109:B109"/>
    <mergeCell ref="C108:H108"/>
    <mergeCell ref="A102:B102"/>
    <mergeCell ref="C97:D97"/>
    <mergeCell ref="A108:B108"/>
    <mergeCell ref="F97:H97"/>
    <mergeCell ref="A107:B107"/>
    <mergeCell ref="F21:H21"/>
    <mergeCell ref="B31:C31"/>
    <mergeCell ref="B43:C43"/>
    <mergeCell ref="B24:D24"/>
    <mergeCell ref="B39:C39"/>
    <mergeCell ref="B40:C40"/>
    <mergeCell ref="B41:C41"/>
    <mergeCell ref="B18:D18"/>
    <mergeCell ref="B20:D20"/>
    <mergeCell ref="A118:C118"/>
    <mergeCell ref="D118:H118"/>
    <mergeCell ref="A173:H173"/>
    <mergeCell ref="C111:H112"/>
    <mergeCell ref="D126:H126"/>
    <mergeCell ref="B113:H113"/>
    <mergeCell ref="A112:B112"/>
    <mergeCell ref="A119:C119"/>
    <mergeCell ref="A126:C126"/>
    <mergeCell ref="D120:H120"/>
    <mergeCell ref="D122:H122"/>
    <mergeCell ref="D117:E117"/>
    <mergeCell ref="A115:H115"/>
    <mergeCell ref="A120:C120"/>
    <mergeCell ref="D121:H121"/>
    <mergeCell ref="F117:H117"/>
    <mergeCell ref="B117:C117"/>
    <mergeCell ref="A161:H161"/>
    <mergeCell ref="A162:H162"/>
    <mergeCell ref="A167:H167"/>
    <mergeCell ref="A125:C125"/>
    <mergeCell ref="D125:H125"/>
    <mergeCell ref="D128:H128"/>
    <mergeCell ref="A154:H154"/>
    <mergeCell ref="A174:H174"/>
    <mergeCell ref="A175:H175"/>
    <mergeCell ref="A169:H169"/>
    <mergeCell ref="A170:H170"/>
    <mergeCell ref="A171:H171"/>
    <mergeCell ref="A172:H172"/>
    <mergeCell ref="A157:H157"/>
    <mergeCell ref="A155:H155"/>
    <mergeCell ref="G139:H139"/>
    <mergeCell ref="A150:B150"/>
    <mergeCell ref="A151:B151"/>
    <mergeCell ref="A143:F143"/>
    <mergeCell ref="A145:H145"/>
    <mergeCell ref="A159:H159"/>
    <mergeCell ref="A139:F139"/>
    <mergeCell ref="A140:F140"/>
    <mergeCell ref="A141:F141"/>
    <mergeCell ref="A146:H146"/>
    <mergeCell ref="A147:H147"/>
    <mergeCell ref="A168:H168"/>
    <mergeCell ref="A163:H163"/>
    <mergeCell ref="A164:H164"/>
    <mergeCell ref="A165:H165"/>
    <mergeCell ref="A166:H166"/>
  </mergeCells>
  <phoneticPr fontId="9" type="noConversion"/>
  <dataValidations count="18">
    <dataValidation type="date" errorStyle="warning" operator="equal" allowBlank="1" showInputMessage="1" showErrorMessage="1" errorTitle="Последняя отчетная дата!!!" error="Проверьте еще раз! Возможно введенная дата не является последней отчетной датой. Данная ячейка должна содержать последнюю отчетную дату!" sqref="A92">
      <formula1>M92</formula1>
    </dataValidation>
    <dataValidation type="date" errorStyle="warning" operator="equal" allowBlank="1" showInputMessage="1" showErrorMessage="1" errorTitle="Введенная отчетная дата!!!" error="Введенная дата должна быть на конец финансового года, т.е. на 31/12/200_ г. предшествующая отчетной дате выше либо на конец отчетного квартала, если отчеты будут представлены по квартально." sqref="A93:A97">
      <formula1>M93</formula1>
    </dataValidation>
    <dataValidation type="list" allowBlank="1" showInputMessage="1" showErrorMessage="1" sqref="F32:F44">
      <formula1>$A$246:$A$251</formula1>
    </dataValidation>
    <dataValidation type="list" allowBlank="1" showInputMessage="1" showErrorMessage="1" sqref="E92:E97 B92:B97">
      <formula1>$A$252:$A$254</formula1>
    </dataValidation>
    <dataValidation allowBlank="1" showInputMessage="1" showErrorMessage="1" prompt="Введите, пожалуйста, даты в обратном хронологическом порядке, начиная с ПОСЛЕДНЕЙ ОТЧЕТНОЙ ДАТЫ. Последние пять лет появятся автоматически. Их не надо удалять." sqref="A91"/>
    <dataValidation allowBlank="1" showInputMessage="1" showErrorMessage="1" prompt="Укажите требуемую сумму кредита в цифрах!" sqref="B116:C116"/>
    <dataValidation allowBlank="1" showInputMessage="1" showErrorMessage="1" prompt="Укажите, пожалуйста, срок в числовом выражении (другими словами просто цифру), но не более 24 месяцев для клиентов, обращающихся в первый раз!" sqref="G116:H116"/>
    <dataValidation allowBlank="1" showInputMessage="1" showErrorMessage="1" prompt="Укажите требуемую сумму кредита прописью!" sqref="B117:C117"/>
    <dataValidation allowBlank="1" showInputMessage="1" showErrorMessage="1" prompt="Должно быть увеличение кредитного портфеля/микрокредитование!" sqref="F117:H117"/>
    <dataValidation type="decimal" errorStyle="information" operator="notEqual" allowBlank="1" showInputMessage="1" showErrorMessage="1" errorTitle="ПРОСЬБА!!!" error="Предоставьте, пожалуйста, нам аудированные отчеты этой компании вместе с письмом к менедженту за этот период! Так же, просим Вас заполнить аудированные данные на листе БАЛАНС и ОПУ за этот период." sqref="C96:D96">
      <formula1>I91</formula1>
    </dataValidation>
    <dataValidation type="decimal" errorStyle="information" operator="notEqual" allowBlank="1" showInputMessage="1" showErrorMessage="1" errorTitle="ПРОСЬБА!!!" error="Предоставьте, пожалуйста, нам аудированные отчеты этой компании вместе с письмом к менедженту за этот период! Так же, просим Вас заполнить аудированные данные на листе БАЛАНС и ОПУ за этот период." sqref="C97:D97">
      <formula1>I91</formula1>
    </dataValidation>
    <dataValidation type="decimal" errorStyle="information" operator="notEqual" allowBlank="1" showInputMessage="1" showErrorMessage="1" errorTitle="ПРОСЬБА!!!" error="Предоставьте, пожалуйста, нам отчет этой рейтинговой компании за этот период!" sqref="F92:F94 G92:H92">
      <formula1>I91</formula1>
    </dataValidation>
    <dataValidation type="decimal" errorStyle="information" operator="notEqual" allowBlank="1" showInputMessage="1" showErrorMessage="1" errorTitle="ПРОСЬБА!!!" error="Предоставьте, пожалуйста, нам отчет этой рейтинговой компании за этот период!" sqref="F95:H95">
      <formula1>I91</formula1>
    </dataValidation>
    <dataValidation type="decimal" errorStyle="information" operator="notEqual" allowBlank="1" showInputMessage="1" showErrorMessage="1" errorTitle="ПРОСЬБА!!!" error="Предоставьте, пожалуйста, нам отчет этой рейтинговой компании за этот период!" sqref="F96:H96">
      <formula1>I91</formula1>
    </dataValidation>
    <dataValidation type="decimal" errorStyle="information" operator="notEqual" allowBlank="1" showInputMessage="1" showErrorMessage="1" errorTitle="ПРОСЬБА!!!" error="Предоставьте, пожалуйста, нам отчет этой рейтинговой компании за этот период!" sqref="F97:H97">
      <formula1>I91</formula1>
    </dataValidation>
    <dataValidation allowBlank="1" showInputMessage="1" sqref="F50:H62"/>
    <dataValidation type="decimal" errorStyle="information" operator="notEqual" allowBlank="1" showInputMessage="1" showErrorMessage="1" errorTitle="ПРОСЬБА!!!" error="Предоставьте, пожалуйста, нам аудированные отчеты этой компании вместе с письмом к менедженту за этот период! Так же, просим Вас заполнить аудированные данные на листе БАЛАНС и ОПУ за этот период." sqref="C92:C94 D92">
      <formula1>I91</formula1>
    </dataValidation>
    <dataValidation type="decimal" errorStyle="information" operator="notEqual" allowBlank="1" showInputMessage="1" showErrorMessage="1" errorTitle="ПРОСЬБА!!!" error="Предоставьте, пожалуйста, нам аудированные отчеты этой компании вместе с письмом к менедженту за этот период! Так же, просим Вас заполнить аудированные данные на листе БАЛАНС и ОПУ за этот период." sqref="C95:D95">
      <formula1>I92</formula1>
    </dataValidation>
  </dataValidations>
  <pageMargins left="0.54" right="0.25" top="0.41" bottom="1.23" header="0.44" footer="1.1499999999999999"/>
  <pageSetup paperSize="9" orientation="portrait" r:id="rId1"/>
  <headerFooter alignWithMargins="0"/>
  <rowBreaks count="2" manualBreakCount="2">
    <brk id="64" max="16383" man="1"/>
    <brk id="132" max="16383" man="1"/>
  </rowBreaks>
  <ignoredErrors>
    <ignoredError sqref="M95:M9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53" r:id="rId4" name="Drop Down 33">
              <controlPr defaultSize="0" autoLine="0" autoPict="0">
                <anchor moveWithCells="1">
                  <from>
                    <xdr:col>1</xdr:col>
                    <xdr:colOff>9525</xdr:colOff>
                    <xdr:row>16</xdr:row>
                    <xdr:rowOff>9525</xdr:rowOff>
                  </from>
                  <to>
                    <xdr:col>3</xdr:col>
                    <xdr:colOff>571500</xdr:colOff>
                    <xdr:row>16</xdr:row>
                    <xdr:rowOff>209550</xdr:rowOff>
                  </to>
                </anchor>
              </controlPr>
            </control>
          </mc:Choice>
        </mc:AlternateContent>
        <mc:AlternateContent xmlns:mc="http://schemas.openxmlformats.org/markup-compatibility/2006">
          <mc:Choice Requires="x14">
            <control shapeId="5156" r:id="rId5" name="Drop Down 36">
              <controlPr defaultSize="0" print="0" autoLine="0" autoPict="0">
                <anchor moveWithCells="1">
                  <from>
                    <xdr:col>5</xdr:col>
                    <xdr:colOff>400050</xdr:colOff>
                    <xdr:row>2</xdr:row>
                    <xdr:rowOff>0</xdr:rowOff>
                  </from>
                  <to>
                    <xdr:col>7</xdr:col>
                    <xdr:colOff>19050</xdr:colOff>
                    <xdr:row>3</xdr:row>
                    <xdr:rowOff>57150</xdr:rowOff>
                  </to>
                </anchor>
              </controlPr>
            </control>
          </mc:Choice>
        </mc:AlternateContent>
        <mc:AlternateContent xmlns:mc="http://schemas.openxmlformats.org/markup-compatibility/2006">
          <mc:Choice Requires="x14">
            <control shapeId="5161" r:id="rId6" name="Check Box 41">
              <controlPr defaultSize="0" autoFill="0" autoLine="0" autoPict="0">
                <anchor moveWithCells="1">
                  <from>
                    <xdr:col>0</xdr:col>
                    <xdr:colOff>123825</xdr:colOff>
                    <xdr:row>119</xdr:row>
                    <xdr:rowOff>114300</xdr:rowOff>
                  </from>
                  <to>
                    <xdr:col>0</xdr:col>
                    <xdr:colOff>428625</xdr:colOff>
                    <xdr:row>121</xdr:row>
                    <xdr:rowOff>47625</xdr:rowOff>
                  </to>
                </anchor>
              </controlPr>
            </control>
          </mc:Choice>
        </mc:AlternateContent>
        <mc:AlternateContent xmlns:mc="http://schemas.openxmlformats.org/markup-compatibility/2006">
          <mc:Choice Requires="x14">
            <control shapeId="5162" r:id="rId7" name="Check Box 42">
              <controlPr defaultSize="0" autoFill="0" autoLine="0" autoPict="0">
                <anchor moveWithCells="1">
                  <from>
                    <xdr:col>0</xdr:col>
                    <xdr:colOff>123825</xdr:colOff>
                    <xdr:row>120</xdr:row>
                    <xdr:rowOff>104775</xdr:rowOff>
                  </from>
                  <to>
                    <xdr:col>0</xdr:col>
                    <xdr:colOff>428625</xdr:colOff>
                    <xdr:row>122</xdr:row>
                    <xdr:rowOff>28575</xdr:rowOff>
                  </to>
                </anchor>
              </controlPr>
            </control>
          </mc:Choice>
        </mc:AlternateContent>
        <mc:AlternateContent xmlns:mc="http://schemas.openxmlformats.org/markup-compatibility/2006">
          <mc:Choice Requires="x14">
            <control shapeId="5166" r:id="rId8" name="Check Box 46">
              <controlPr defaultSize="0" autoFill="0" autoLine="0" autoPict="0">
                <anchor moveWithCells="1">
                  <from>
                    <xdr:col>0</xdr:col>
                    <xdr:colOff>123825</xdr:colOff>
                    <xdr:row>121</xdr:row>
                    <xdr:rowOff>114300</xdr:rowOff>
                  </from>
                  <to>
                    <xdr:col>0</xdr:col>
                    <xdr:colOff>428625</xdr:colOff>
                    <xdr:row>123</xdr:row>
                    <xdr:rowOff>19050</xdr:rowOff>
                  </to>
                </anchor>
              </controlPr>
            </control>
          </mc:Choice>
        </mc:AlternateContent>
        <mc:AlternateContent xmlns:mc="http://schemas.openxmlformats.org/markup-compatibility/2006">
          <mc:Choice Requires="x14">
            <control shapeId="5167" r:id="rId9" name="Check Box 47">
              <controlPr defaultSize="0" autoFill="0" autoLine="0" autoPict="0">
                <anchor moveWithCells="1">
                  <from>
                    <xdr:col>0</xdr:col>
                    <xdr:colOff>114300</xdr:colOff>
                    <xdr:row>127</xdr:row>
                    <xdr:rowOff>104775</xdr:rowOff>
                  </from>
                  <to>
                    <xdr:col>0</xdr:col>
                    <xdr:colOff>419100</xdr:colOff>
                    <xdr:row>129</xdr:row>
                    <xdr:rowOff>38100</xdr:rowOff>
                  </to>
                </anchor>
              </controlPr>
            </control>
          </mc:Choice>
        </mc:AlternateContent>
        <mc:AlternateContent xmlns:mc="http://schemas.openxmlformats.org/markup-compatibility/2006">
          <mc:Choice Requires="x14">
            <control shapeId="5168" r:id="rId10" name="Check Box 48">
              <controlPr defaultSize="0" autoFill="0" autoLine="0" autoPict="0">
                <anchor moveWithCells="1">
                  <from>
                    <xdr:col>6</xdr:col>
                    <xdr:colOff>38100</xdr:colOff>
                    <xdr:row>133</xdr:row>
                    <xdr:rowOff>66675</xdr:rowOff>
                  </from>
                  <to>
                    <xdr:col>6</xdr:col>
                    <xdr:colOff>342900</xdr:colOff>
                    <xdr:row>133</xdr:row>
                    <xdr:rowOff>428625</xdr:rowOff>
                  </to>
                </anchor>
              </controlPr>
            </control>
          </mc:Choice>
        </mc:AlternateContent>
        <mc:AlternateContent xmlns:mc="http://schemas.openxmlformats.org/markup-compatibility/2006">
          <mc:Choice Requires="x14">
            <control shapeId="5169" r:id="rId11" name="Check Box 49">
              <controlPr defaultSize="0" autoFill="0" autoLine="0" autoPict="0">
                <anchor moveWithCells="1">
                  <from>
                    <xdr:col>7</xdr:col>
                    <xdr:colOff>19050</xdr:colOff>
                    <xdr:row>133</xdr:row>
                    <xdr:rowOff>66675</xdr:rowOff>
                  </from>
                  <to>
                    <xdr:col>7</xdr:col>
                    <xdr:colOff>323850</xdr:colOff>
                    <xdr:row>133</xdr:row>
                    <xdr:rowOff>428625</xdr:rowOff>
                  </to>
                </anchor>
              </controlPr>
            </control>
          </mc:Choice>
        </mc:AlternateContent>
        <mc:AlternateContent xmlns:mc="http://schemas.openxmlformats.org/markup-compatibility/2006">
          <mc:Choice Requires="x14">
            <control shapeId="5170" r:id="rId12" name="Check Box 50">
              <controlPr defaultSize="0" autoFill="0" autoLine="0" autoPict="0">
                <anchor moveWithCells="1">
                  <from>
                    <xdr:col>6</xdr:col>
                    <xdr:colOff>38100</xdr:colOff>
                    <xdr:row>134</xdr:row>
                    <xdr:rowOff>9525</xdr:rowOff>
                  </from>
                  <to>
                    <xdr:col>6</xdr:col>
                    <xdr:colOff>342900</xdr:colOff>
                    <xdr:row>134</xdr:row>
                    <xdr:rowOff>304800</xdr:rowOff>
                  </to>
                </anchor>
              </controlPr>
            </control>
          </mc:Choice>
        </mc:AlternateContent>
        <mc:AlternateContent xmlns:mc="http://schemas.openxmlformats.org/markup-compatibility/2006">
          <mc:Choice Requires="x14">
            <control shapeId="5171" r:id="rId13" name="Check Box 51">
              <controlPr defaultSize="0" autoFill="0" autoLine="0" autoPict="0">
                <anchor moveWithCells="1">
                  <from>
                    <xdr:col>7</xdr:col>
                    <xdr:colOff>9525</xdr:colOff>
                    <xdr:row>134</xdr:row>
                    <xdr:rowOff>28575</xdr:rowOff>
                  </from>
                  <to>
                    <xdr:col>7</xdr:col>
                    <xdr:colOff>314325</xdr:colOff>
                    <xdr:row>134</xdr:row>
                    <xdr:rowOff>304800</xdr:rowOff>
                  </to>
                </anchor>
              </controlPr>
            </control>
          </mc:Choice>
        </mc:AlternateContent>
        <mc:AlternateContent xmlns:mc="http://schemas.openxmlformats.org/markup-compatibility/2006">
          <mc:Choice Requires="x14">
            <control shapeId="5173" r:id="rId14" name="Check Box 53">
              <controlPr defaultSize="0" autoFill="0" autoLine="0" autoPict="0">
                <anchor moveWithCells="1">
                  <from>
                    <xdr:col>7</xdr:col>
                    <xdr:colOff>9525</xdr:colOff>
                    <xdr:row>134</xdr:row>
                    <xdr:rowOff>314325</xdr:rowOff>
                  </from>
                  <to>
                    <xdr:col>7</xdr:col>
                    <xdr:colOff>314325</xdr:colOff>
                    <xdr:row>136</xdr:row>
                    <xdr:rowOff>0</xdr:rowOff>
                  </to>
                </anchor>
              </controlPr>
            </control>
          </mc:Choice>
        </mc:AlternateContent>
        <mc:AlternateContent xmlns:mc="http://schemas.openxmlformats.org/markup-compatibility/2006">
          <mc:Choice Requires="x14">
            <control shapeId="5177" r:id="rId15" name="Check Box 57">
              <controlPr defaultSize="0" autoFill="0" autoLine="0" autoPict="0">
                <anchor moveWithCells="1">
                  <from>
                    <xdr:col>7</xdr:col>
                    <xdr:colOff>9525</xdr:colOff>
                    <xdr:row>135</xdr:row>
                    <xdr:rowOff>171450</xdr:rowOff>
                  </from>
                  <to>
                    <xdr:col>7</xdr:col>
                    <xdr:colOff>314325</xdr:colOff>
                    <xdr:row>136</xdr:row>
                    <xdr:rowOff>180975</xdr:rowOff>
                  </to>
                </anchor>
              </controlPr>
            </control>
          </mc:Choice>
        </mc:AlternateContent>
        <mc:AlternateContent xmlns:mc="http://schemas.openxmlformats.org/markup-compatibility/2006">
          <mc:Choice Requires="x14">
            <control shapeId="5178" r:id="rId16" name="Check Box 58">
              <controlPr defaultSize="0" autoFill="0" autoLine="0" autoPict="0">
                <anchor moveWithCells="1">
                  <from>
                    <xdr:col>6</xdr:col>
                    <xdr:colOff>28575</xdr:colOff>
                    <xdr:row>134</xdr:row>
                    <xdr:rowOff>304800</xdr:rowOff>
                  </from>
                  <to>
                    <xdr:col>6</xdr:col>
                    <xdr:colOff>333375</xdr:colOff>
                    <xdr:row>136</xdr:row>
                    <xdr:rowOff>0</xdr:rowOff>
                  </to>
                </anchor>
              </controlPr>
            </control>
          </mc:Choice>
        </mc:AlternateContent>
        <mc:AlternateContent xmlns:mc="http://schemas.openxmlformats.org/markup-compatibility/2006">
          <mc:Choice Requires="x14">
            <control shapeId="5179" r:id="rId17" name="Check Box 59">
              <controlPr defaultSize="0" autoFill="0" autoLine="0" autoPict="0">
                <anchor moveWithCells="1">
                  <from>
                    <xdr:col>6</xdr:col>
                    <xdr:colOff>28575</xdr:colOff>
                    <xdr:row>135</xdr:row>
                    <xdr:rowOff>180975</xdr:rowOff>
                  </from>
                  <to>
                    <xdr:col>6</xdr:col>
                    <xdr:colOff>333375</xdr:colOff>
                    <xdr:row>137</xdr:row>
                    <xdr:rowOff>0</xdr:rowOff>
                  </to>
                </anchor>
              </controlPr>
            </control>
          </mc:Choice>
        </mc:AlternateContent>
        <mc:AlternateContent xmlns:mc="http://schemas.openxmlformats.org/markup-compatibility/2006">
          <mc:Choice Requires="x14">
            <control shapeId="5180" r:id="rId18" name="Check Box 60">
              <controlPr defaultSize="0" autoFill="0" autoLine="0" autoPict="0">
                <anchor moveWithCells="1">
                  <from>
                    <xdr:col>7</xdr:col>
                    <xdr:colOff>9525</xdr:colOff>
                    <xdr:row>138</xdr:row>
                    <xdr:rowOff>152400</xdr:rowOff>
                  </from>
                  <to>
                    <xdr:col>7</xdr:col>
                    <xdr:colOff>314325</xdr:colOff>
                    <xdr:row>140</xdr:row>
                    <xdr:rowOff>0</xdr:rowOff>
                  </to>
                </anchor>
              </controlPr>
            </control>
          </mc:Choice>
        </mc:AlternateContent>
        <mc:AlternateContent xmlns:mc="http://schemas.openxmlformats.org/markup-compatibility/2006">
          <mc:Choice Requires="x14">
            <control shapeId="5181" r:id="rId19" name="Check Box 61">
              <controlPr defaultSize="0" autoFill="0" autoLine="0" autoPict="0">
                <anchor moveWithCells="1">
                  <from>
                    <xdr:col>6</xdr:col>
                    <xdr:colOff>38100</xdr:colOff>
                    <xdr:row>138</xdr:row>
                    <xdr:rowOff>161925</xdr:rowOff>
                  </from>
                  <to>
                    <xdr:col>6</xdr:col>
                    <xdr:colOff>342900</xdr:colOff>
                    <xdr:row>140</xdr:row>
                    <xdr:rowOff>9525</xdr:rowOff>
                  </to>
                </anchor>
              </controlPr>
            </control>
          </mc:Choice>
        </mc:AlternateContent>
        <mc:AlternateContent xmlns:mc="http://schemas.openxmlformats.org/markup-compatibility/2006">
          <mc:Choice Requires="x14">
            <control shapeId="5182" r:id="rId20" name="Check Box 62">
              <controlPr defaultSize="0" autoFill="0" autoLine="0" autoPict="0">
                <anchor moveWithCells="1">
                  <from>
                    <xdr:col>6</xdr:col>
                    <xdr:colOff>28575</xdr:colOff>
                    <xdr:row>140</xdr:row>
                    <xdr:rowOff>38100</xdr:rowOff>
                  </from>
                  <to>
                    <xdr:col>6</xdr:col>
                    <xdr:colOff>333375</xdr:colOff>
                    <xdr:row>141</xdr:row>
                    <xdr:rowOff>0</xdr:rowOff>
                  </to>
                </anchor>
              </controlPr>
            </control>
          </mc:Choice>
        </mc:AlternateContent>
        <mc:AlternateContent xmlns:mc="http://schemas.openxmlformats.org/markup-compatibility/2006">
          <mc:Choice Requires="x14">
            <control shapeId="5183" r:id="rId21" name="Check Box 63">
              <controlPr defaultSize="0" autoFill="0" autoLine="0" autoPict="0">
                <anchor moveWithCells="1">
                  <from>
                    <xdr:col>7</xdr:col>
                    <xdr:colOff>0</xdr:colOff>
                    <xdr:row>140</xdr:row>
                    <xdr:rowOff>38100</xdr:rowOff>
                  </from>
                  <to>
                    <xdr:col>7</xdr:col>
                    <xdr:colOff>304800</xdr:colOff>
                    <xdr:row>141</xdr:row>
                    <xdr:rowOff>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6</xdr:col>
                    <xdr:colOff>28575</xdr:colOff>
                    <xdr:row>141</xdr:row>
                    <xdr:rowOff>38100</xdr:rowOff>
                  </from>
                  <to>
                    <xdr:col>6</xdr:col>
                    <xdr:colOff>333375</xdr:colOff>
                    <xdr:row>142</xdr:row>
                    <xdr:rowOff>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6</xdr:col>
                    <xdr:colOff>600075</xdr:colOff>
                    <xdr:row>141</xdr:row>
                    <xdr:rowOff>47625</xdr:rowOff>
                  </from>
                  <to>
                    <xdr:col>7</xdr:col>
                    <xdr:colOff>295275</xdr:colOff>
                    <xdr:row>142</xdr:row>
                    <xdr:rowOff>0</xdr:rowOff>
                  </to>
                </anchor>
              </controlPr>
            </control>
          </mc:Choice>
        </mc:AlternateContent>
        <mc:AlternateContent xmlns:mc="http://schemas.openxmlformats.org/markup-compatibility/2006">
          <mc:Choice Requires="x14">
            <control shapeId="5186" r:id="rId24" name="Check Box 66">
              <controlPr defaultSize="0" autoFill="0" autoLine="0" autoPict="0">
                <anchor moveWithCells="1">
                  <from>
                    <xdr:col>0</xdr:col>
                    <xdr:colOff>123825</xdr:colOff>
                    <xdr:row>156</xdr:row>
                    <xdr:rowOff>95250</xdr:rowOff>
                  </from>
                  <to>
                    <xdr:col>0</xdr:col>
                    <xdr:colOff>428625</xdr:colOff>
                    <xdr:row>158</xdr:row>
                    <xdr:rowOff>9525</xdr:rowOff>
                  </to>
                </anchor>
              </controlPr>
            </control>
          </mc:Choice>
        </mc:AlternateContent>
        <mc:AlternateContent xmlns:mc="http://schemas.openxmlformats.org/markup-compatibility/2006">
          <mc:Choice Requires="x14">
            <control shapeId="5187" r:id="rId25" name="Check Box 67">
              <controlPr defaultSize="0" autoFill="0" autoLine="0" autoPict="0">
                <anchor moveWithCells="1">
                  <from>
                    <xdr:col>0</xdr:col>
                    <xdr:colOff>123825</xdr:colOff>
                    <xdr:row>157</xdr:row>
                    <xdr:rowOff>114300</xdr:rowOff>
                  </from>
                  <to>
                    <xdr:col>0</xdr:col>
                    <xdr:colOff>428625</xdr:colOff>
                    <xdr:row>159</xdr:row>
                    <xdr:rowOff>28575</xdr:rowOff>
                  </to>
                </anchor>
              </controlPr>
            </control>
          </mc:Choice>
        </mc:AlternateContent>
        <mc:AlternateContent xmlns:mc="http://schemas.openxmlformats.org/markup-compatibility/2006">
          <mc:Choice Requires="x14">
            <control shapeId="5207" r:id="rId26" name="Drop Down 87">
              <controlPr defaultSize="0" autoLine="0" autoPict="0">
                <anchor moveWithCells="1">
                  <from>
                    <xdr:col>5</xdr:col>
                    <xdr:colOff>9525</xdr:colOff>
                    <xdr:row>16</xdr:row>
                    <xdr:rowOff>9525</xdr:rowOff>
                  </from>
                  <to>
                    <xdr:col>8</xdr:col>
                    <xdr:colOff>0</xdr:colOff>
                    <xdr:row>16</xdr:row>
                    <xdr:rowOff>209550</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from>
                    <xdr:col>0</xdr:col>
                    <xdr:colOff>123825</xdr:colOff>
                    <xdr:row>159</xdr:row>
                    <xdr:rowOff>95250</xdr:rowOff>
                  </from>
                  <to>
                    <xdr:col>0</xdr:col>
                    <xdr:colOff>428625</xdr:colOff>
                    <xdr:row>161</xdr:row>
                    <xdr:rowOff>28575</xdr:rowOff>
                  </to>
                </anchor>
              </controlPr>
            </control>
          </mc:Choice>
        </mc:AlternateContent>
        <mc:AlternateContent xmlns:mc="http://schemas.openxmlformats.org/markup-compatibility/2006">
          <mc:Choice Requires="x14">
            <control shapeId="5237" r:id="rId28" name="Check Box 117">
              <controlPr defaultSize="0" autoFill="0" autoLine="0" autoPict="0">
                <anchor moveWithCells="1">
                  <from>
                    <xdr:col>0</xdr:col>
                    <xdr:colOff>123825</xdr:colOff>
                    <xdr:row>162</xdr:row>
                    <xdr:rowOff>95250</xdr:rowOff>
                  </from>
                  <to>
                    <xdr:col>0</xdr:col>
                    <xdr:colOff>428625</xdr:colOff>
                    <xdr:row>164</xdr:row>
                    <xdr:rowOff>28575</xdr:rowOff>
                  </to>
                </anchor>
              </controlPr>
            </control>
          </mc:Choice>
        </mc:AlternateContent>
        <mc:AlternateContent xmlns:mc="http://schemas.openxmlformats.org/markup-compatibility/2006">
          <mc:Choice Requires="x14">
            <control shapeId="5238" r:id="rId29" name="Check Box 118">
              <controlPr defaultSize="0" autoFill="0" autoLine="0" autoPict="0">
                <anchor moveWithCells="1">
                  <from>
                    <xdr:col>0</xdr:col>
                    <xdr:colOff>123825</xdr:colOff>
                    <xdr:row>160</xdr:row>
                    <xdr:rowOff>95250</xdr:rowOff>
                  </from>
                  <to>
                    <xdr:col>0</xdr:col>
                    <xdr:colOff>428625</xdr:colOff>
                    <xdr:row>162</xdr:row>
                    <xdr:rowOff>28575</xdr:rowOff>
                  </to>
                </anchor>
              </controlPr>
            </control>
          </mc:Choice>
        </mc:AlternateContent>
        <mc:AlternateContent xmlns:mc="http://schemas.openxmlformats.org/markup-compatibility/2006">
          <mc:Choice Requires="x14">
            <control shapeId="5242" r:id="rId30" name="Check Box 122">
              <controlPr defaultSize="0" autoFill="0" autoLine="0" autoPict="0">
                <anchor moveWithCells="1">
                  <from>
                    <xdr:col>0</xdr:col>
                    <xdr:colOff>123825</xdr:colOff>
                    <xdr:row>164</xdr:row>
                    <xdr:rowOff>95250</xdr:rowOff>
                  </from>
                  <to>
                    <xdr:col>0</xdr:col>
                    <xdr:colOff>428625</xdr:colOff>
                    <xdr:row>166</xdr:row>
                    <xdr:rowOff>28575</xdr:rowOff>
                  </to>
                </anchor>
              </controlPr>
            </control>
          </mc:Choice>
        </mc:AlternateContent>
        <mc:AlternateContent xmlns:mc="http://schemas.openxmlformats.org/markup-compatibility/2006">
          <mc:Choice Requires="x14">
            <control shapeId="5243" r:id="rId31" name="Check Box 123">
              <controlPr defaultSize="0" autoFill="0" autoLine="0" autoPict="0">
                <anchor moveWithCells="1">
                  <from>
                    <xdr:col>0</xdr:col>
                    <xdr:colOff>123825</xdr:colOff>
                    <xdr:row>165</xdr:row>
                    <xdr:rowOff>95250</xdr:rowOff>
                  </from>
                  <to>
                    <xdr:col>0</xdr:col>
                    <xdr:colOff>428625</xdr:colOff>
                    <xdr:row>167</xdr:row>
                    <xdr:rowOff>28575</xdr:rowOff>
                  </to>
                </anchor>
              </controlPr>
            </control>
          </mc:Choice>
        </mc:AlternateContent>
        <mc:AlternateContent xmlns:mc="http://schemas.openxmlformats.org/markup-compatibility/2006">
          <mc:Choice Requires="x14">
            <control shapeId="5244" r:id="rId32" name="Check Box 124">
              <controlPr defaultSize="0" autoFill="0" autoLine="0" autoPict="0">
                <anchor moveWithCells="1">
                  <from>
                    <xdr:col>0</xdr:col>
                    <xdr:colOff>123825</xdr:colOff>
                    <xdr:row>166</xdr:row>
                    <xdr:rowOff>95250</xdr:rowOff>
                  </from>
                  <to>
                    <xdr:col>0</xdr:col>
                    <xdr:colOff>428625</xdr:colOff>
                    <xdr:row>168</xdr:row>
                    <xdr:rowOff>28575</xdr:rowOff>
                  </to>
                </anchor>
              </controlPr>
            </control>
          </mc:Choice>
        </mc:AlternateContent>
        <mc:AlternateContent xmlns:mc="http://schemas.openxmlformats.org/markup-compatibility/2006">
          <mc:Choice Requires="x14">
            <control shapeId="5256" r:id="rId33" name="Check Box 136">
              <controlPr defaultSize="0" autoFill="0" autoLine="0" autoPict="0">
                <anchor moveWithCells="1">
                  <from>
                    <xdr:col>6</xdr:col>
                    <xdr:colOff>19050</xdr:colOff>
                    <xdr:row>142</xdr:row>
                    <xdr:rowOff>19050</xdr:rowOff>
                  </from>
                  <to>
                    <xdr:col>6</xdr:col>
                    <xdr:colOff>323850</xdr:colOff>
                    <xdr:row>142</xdr:row>
                    <xdr:rowOff>285750</xdr:rowOff>
                  </to>
                </anchor>
              </controlPr>
            </control>
          </mc:Choice>
        </mc:AlternateContent>
        <mc:AlternateContent xmlns:mc="http://schemas.openxmlformats.org/markup-compatibility/2006">
          <mc:Choice Requires="x14">
            <control shapeId="5257" r:id="rId34" name="Check Box 137">
              <controlPr defaultSize="0" autoFill="0" autoLine="0" autoPict="0">
                <anchor moveWithCells="1">
                  <from>
                    <xdr:col>6</xdr:col>
                    <xdr:colOff>600075</xdr:colOff>
                    <xdr:row>142</xdr:row>
                    <xdr:rowOff>9525</xdr:rowOff>
                  </from>
                  <to>
                    <xdr:col>7</xdr:col>
                    <xdr:colOff>295275</xdr:colOff>
                    <xdr:row>142</xdr:row>
                    <xdr:rowOff>276225</xdr:rowOff>
                  </to>
                </anchor>
              </controlPr>
            </control>
          </mc:Choice>
        </mc:AlternateContent>
        <mc:AlternateContent xmlns:mc="http://schemas.openxmlformats.org/markup-compatibility/2006">
          <mc:Choice Requires="x14">
            <control shapeId="5278" r:id="rId35" name="Check Box 158">
              <controlPr defaultSize="0" autoFill="0" autoLine="0" autoPict="0">
                <anchor moveWithCells="1">
                  <from>
                    <xdr:col>0</xdr:col>
                    <xdr:colOff>123825</xdr:colOff>
                    <xdr:row>118</xdr:row>
                    <xdr:rowOff>104775</xdr:rowOff>
                  </from>
                  <to>
                    <xdr:col>0</xdr:col>
                    <xdr:colOff>428625</xdr:colOff>
                    <xdr:row>120</xdr:row>
                    <xdr:rowOff>38100</xdr:rowOff>
                  </to>
                </anchor>
              </controlPr>
            </control>
          </mc:Choice>
        </mc:AlternateContent>
        <mc:AlternateContent xmlns:mc="http://schemas.openxmlformats.org/markup-compatibility/2006">
          <mc:Choice Requires="x14">
            <control shapeId="5310" r:id="rId36" name="Check Box 190">
              <controlPr defaultSize="0" autoFill="0" autoLine="0" autoPict="0">
                <anchor moveWithCells="1">
                  <from>
                    <xdr:col>0</xdr:col>
                    <xdr:colOff>123825</xdr:colOff>
                    <xdr:row>155</xdr:row>
                    <xdr:rowOff>85725</xdr:rowOff>
                  </from>
                  <to>
                    <xdr:col>0</xdr:col>
                    <xdr:colOff>428625</xdr:colOff>
                    <xdr:row>157</xdr:row>
                    <xdr:rowOff>19050</xdr:rowOff>
                  </to>
                </anchor>
              </controlPr>
            </control>
          </mc:Choice>
        </mc:AlternateContent>
        <mc:AlternateContent xmlns:mc="http://schemas.openxmlformats.org/markup-compatibility/2006">
          <mc:Choice Requires="x14">
            <control shapeId="5344" r:id="rId37" name="Check Box 224">
              <controlPr defaultSize="0" autoFill="0" autoLine="0" autoPict="0">
                <anchor moveWithCells="1">
                  <from>
                    <xdr:col>0</xdr:col>
                    <xdr:colOff>123825</xdr:colOff>
                    <xdr:row>167</xdr:row>
                    <xdr:rowOff>114300</xdr:rowOff>
                  </from>
                  <to>
                    <xdr:col>0</xdr:col>
                    <xdr:colOff>428625</xdr:colOff>
                    <xdr:row>169</xdr:row>
                    <xdr:rowOff>47625</xdr:rowOff>
                  </to>
                </anchor>
              </controlPr>
            </control>
          </mc:Choice>
        </mc:AlternateContent>
        <mc:AlternateContent xmlns:mc="http://schemas.openxmlformats.org/markup-compatibility/2006">
          <mc:Choice Requires="x14">
            <control shapeId="5348" r:id="rId38" name="Check Box 228">
              <controlPr defaultSize="0" autoFill="0" autoLine="0" autoPict="0">
                <anchor moveWithCells="1">
                  <from>
                    <xdr:col>0</xdr:col>
                    <xdr:colOff>123825</xdr:colOff>
                    <xdr:row>169</xdr:row>
                    <xdr:rowOff>114300</xdr:rowOff>
                  </from>
                  <to>
                    <xdr:col>0</xdr:col>
                    <xdr:colOff>428625</xdr:colOff>
                    <xdr:row>171</xdr:row>
                    <xdr:rowOff>47625</xdr:rowOff>
                  </to>
                </anchor>
              </controlPr>
            </control>
          </mc:Choice>
        </mc:AlternateContent>
        <mc:AlternateContent xmlns:mc="http://schemas.openxmlformats.org/markup-compatibility/2006">
          <mc:Choice Requires="x14">
            <control shapeId="5349" r:id="rId39" name="Check Box 229">
              <controlPr defaultSize="0" autoFill="0" autoLine="0" autoPict="0">
                <anchor moveWithCells="1">
                  <from>
                    <xdr:col>0</xdr:col>
                    <xdr:colOff>123825</xdr:colOff>
                    <xdr:row>170</xdr:row>
                    <xdr:rowOff>114300</xdr:rowOff>
                  </from>
                  <to>
                    <xdr:col>0</xdr:col>
                    <xdr:colOff>428625</xdr:colOff>
                    <xdr:row>172</xdr:row>
                    <xdr:rowOff>47625</xdr:rowOff>
                  </to>
                </anchor>
              </controlPr>
            </control>
          </mc:Choice>
        </mc:AlternateContent>
        <mc:AlternateContent xmlns:mc="http://schemas.openxmlformats.org/markup-compatibility/2006">
          <mc:Choice Requires="x14">
            <control shapeId="5586" r:id="rId40" name="Check Box 466">
              <controlPr defaultSize="0" autoFill="0" autoLine="0" autoPict="0">
                <anchor moveWithCells="1">
                  <from>
                    <xdr:col>0</xdr:col>
                    <xdr:colOff>123825</xdr:colOff>
                    <xdr:row>158</xdr:row>
                    <xdr:rowOff>95250</xdr:rowOff>
                  </from>
                  <to>
                    <xdr:col>0</xdr:col>
                    <xdr:colOff>428625</xdr:colOff>
                    <xdr:row>160</xdr:row>
                    <xdr:rowOff>28575</xdr:rowOff>
                  </to>
                </anchor>
              </controlPr>
            </control>
          </mc:Choice>
        </mc:AlternateContent>
        <mc:AlternateContent xmlns:mc="http://schemas.openxmlformats.org/markup-compatibility/2006">
          <mc:Choice Requires="x14">
            <control shapeId="5593" r:id="rId41" name="Check Box 473">
              <controlPr defaultSize="0" autoFill="0" autoLine="0" autoPict="0">
                <anchor moveWithCells="1">
                  <from>
                    <xdr:col>0</xdr:col>
                    <xdr:colOff>123825</xdr:colOff>
                    <xdr:row>171</xdr:row>
                    <xdr:rowOff>114300</xdr:rowOff>
                  </from>
                  <to>
                    <xdr:col>0</xdr:col>
                    <xdr:colOff>428625</xdr:colOff>
                    <xdr:row>172</xdr:row>
                    <xdr:rowOff>190500</xdr:rowOff>
                  </to>
                </anchor>
              </controlPr>
            </control>
          </mc:Choice>
        </mc:AlternateContent>
        <mc:AlternateContent xmlns:mc="http://schemas.openxmlformats.org/markup-compatibility/2006">
          <mc:Choice Requires="x14">
            <control shapeId="5595" r:id="rId42" name="Check Box 475">
              <controlPr defaultSize="0" autoFill="0" autoLine="0" autoPict="0">
                <anchor moveWithCells="1">
                  <from>
                    <xdr:col>0</xdr:col>
                    <xdr:colOff>123825</xdr:colOff>
                    <xdr:row>172</xdr:row>
                    <xdr:rowOff>323850</xdr:rowOff>
                  </from>
                  <to>
                    <xdr:col>0</xdr:col>
                    <xdr:colOff>428625</xdr:colOff>
                    <xdr:row>174</xdr:row>
                    <xdr:rowOff>28575</xdr:rowOff>
                  </to>
                </anchor>
              </controlPr>
            </control>
          </mc:Choice>
        </mc:AlternateContent>
        <mc:AlternateContent xmlns:mc="http://schemas.openxmlformats.org/markup-compatibility/2006">
          <mc:Choice Requires="x14">
            <control shapeId="5596" r:id="rId43" name="Check Box 476">
              <controlPr defaultSize="0" autoFill="0" autoLine="0" autoPict="0">
                <anchor moveWithCells="1">
                  <from>
                    <xdr:col>0</xdr:col>
                    <xdr:colOff>123825</xdr:colOff>
                    <xdr:row>173</xdr:row>
                    <xdr:rowOff>104775</xdr:rowOff>
                  </from>
                  <to>
                    <xdr:col>0</xdr:col>
                    <xdr:colOff>428625</xdr:colOff>
                    <xdr:row>174</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B31"/>
  <sheetViews>
    <sheetView topLeftCell="A16" zoomScaleNormal="100" workbookViewId="0">
      <selection activeCell="B34" sqref="B34"/>
    </sheetView>
  </sheetViews>
  <sheetFormatPr defaultColWidth="0" defaultRowHeight="12.75" x14ac:dyDescent="0.2"/>
  <cols>
    <col min="1" max="1" width="62.5703125" customWidth="1"/>
    <col min="2" max="2" width="72.5703125" customWidth="1"/>
  </cols>
  <sheetData>
    <row r="2" spans="1:2" x14ac:dyDescent="0.2">
      <c r="A2" s="1005" t="s">
        <v>808</v>
      </c>
      <c r="B2" s="1006"/>
    </row>
    <row r="3" spans="1:2" x14ac:dyDescent="0.2">
      <c r="A3" s="1007"/>
      <c r="B3" s="1008"/>
    </row>
    <row r="4" spans="1:2" x14ac:dyDescent="0.2">
      <c r="A4" s="1007"/>
      <c r="B4" s="1008"/>
    </row>
    <row r="5" spans="1:2" x14ac:dyDescent="0.2">
      <c r="A5" s="1009"/>
      <c r="B5" s="1010"/>
    </row>
    <row r="8" spans="1:2" x14ac:dyDescent="0.2">
      <c r="A8" s="1011" t="s">
        <v>785</v>
      </c>
      <c r="B8" s="1011"/>
    </row>
    <row r="9" spans="1:2" x14ac:dyDescent="0.2">
      <c r="A9" s="291"/>
      <c r="B9" s="290"/>
    </row>
    <row r="10" spans="1:2" x14ac:dyDescent="0.2">
      <c r="A10" s="1001" t="s">
        <v>786</v>
      </c>
      <c r="B10" s="1001"/>
    </row>
    <row r="11" spans="1:2" ht="27.75" customHeight="1" x14ac:dyDescent="0.2">
      <c r="A11" s="1004" t="s">
        <v>787</v>
      </c>
      <c r="B11" s="1004"/>
    </row>
    <row r="12" spans="1:2" ht="36" customHeight="1" x14ac:dyDescent="0.2">
      <c r="A12" s="1004" t="s">
        <v>788</v>
      </c>
      <c r="B12" s="1004"/>
    </row>
    <row r="13" spans="1:2" ht="22.5" customHeight="1" x14ac:dyDescent="0.2">
      <c r="A13" s="1004" t="s">
        <v>789</v>
      </c>
      <c r="B13" s="1004"/>
    </row>
    <row r="14" spans="1:2" ht="27.75" customHeight="1" x14ac:dyDescent="0.2">
      <c r="A14" s="1004" t="s">
        <v>790</v>
      </c>
      <c r="B14" s="1004"/>
    </row>
    <row r="15" spans="1:2" ht="37.5" customHeight="1" x14ac:dyDescent="0.2">
      <c r="A15" s="1004" t="s">
        <v>791</v>
      </c>
      <c r="B15" s="1004"/>
    </row>
    <row r="16" spans="1:2" ht="110.25" customHeight="1" x14ac:dyDescent="0.2">
      <c r="A16" s="1000" t="s">
        <v>792</v>
      </c>
      <c r="B16" s="1000"/>
    </row>
    <row r="17" spans="1:2" ht="39" customHeight="1" x14ac:dyDescent="0.2">
      <c r="A17" s="1000" t="s">
        <v>793</v>
      </c>
      <c r="B17" s="1000"/>
    </row>
    <row r="18" spans="1:2" x14ac:dyDescent="0.2">
      <c r="A18" s="1002" t="s">
        <v>794</v>
      </c>
      <c r="B18" s="1003"/>
    </row>
    <row r="19" spans="1:2" x14ac:dyDescent="0.2">
      <c r="A19" s="292" t="s">
        <v>795</v>
      </c>
      <c r="B19" s="1004" t="s">
        <v>796</v>
      </c>
    </row>
    <row r="20" spans="1:2" x14ac:dyDescent="0.2">
      <c r="A20" s="292" t="s">
        <v>797</v>
      </c>
      <c r="B20" s="1004"/>
    </row>
    <row r="21" spans="1:2" x14ac:dyDescent="0.2">
      <c r="A21" s="292" t="s">
        <v>798</v>
      </c>
      <c r="B21" s="294" t="s">
        <v>755</v>
      </c>
    </row>
    <row r="22" spans="1:2" x14ac:dyDescent="0.2">
      <c r="A22" s="292" t="s">
        <v>799</v>
      </c>
      <c r="B22" s="294" t="s">
        <v>796</v>
      </c>
    </row>
    <row r="23" spans="1:2" ht="36" x14ac:dyDescent="0.2">
      <c r="A23" s="292" t="s">
        <v>800</v>
      </c>
      <c r="B23" s="294" t="s">
        <v>755</v>
      </c>
    </row>
    <row r="24" spans="1:2" ht="24" x14ac:dyDescent="0.2">
      <c r="A24" s="292" t="s">
        <v>801</v>
      </c>
      <c r="B24" s="294" t="s">
        <v>755</v>
      </c>
    </row>
    <row r="25" spans="1:2" ht="24" x14ac:dyDescent="0.2">
      <c r="A25" s="292" t="s">
        <v>802</v>
      </c>
      <c r="B25" s="294" t="s">
        <v>796</v>
      </c>
    </row>
    <row r="26" spans="1:2" x14ac:dyDescent="0.2">
      <c r="A26" s="292" t="s">
        <v>803</v>
      </c>
      <c r="B26" s="294" t="s">
        <v>755</v>
      </c>
    </row>
    <row r="27" spans="1:2" x14ac:dyDescent="0.2">
      <c r="A27" s="294" t="s">
        <v>804</v>
      </c>
      <c r="B27" s="293"/>
    </row>
    <row r="28" spans="1:2" x14ac:dyDescent="0.2">
      <c r="A28" s="1001" t="s">
        <v>805</v>
      </c>
      <c r="B28" s="1001"/>
    </row>
    <row r="29" spans="1:2" ht="24" x14ac:dyDescent="0.2">
      <c r="A29" s="292" t="s">
        <v>806</v>
      </c>
      <c r="B29" s="294" t="s">
        <v>1455</v>
      </c>
    </row>
    <row r="30" spans="1:2" ht="24" x14ac:dyDescent="0.2">
      <c r="A30" s="292" t="s">
        <v>807</v>
      </c>
      <c r="B30" s="1004" t="s">
        <v>796</v>
      </c>
    </row>
    <row r="31" spans="1:2" x14ac:dyDescent="0.2">
      <c r="A31" s="292" t="s">
        <v>804</v>
      </c>
      <c r="B31" s="1004"/>
    </row>
  </sheetData>
  <mergeCells count="14">
    <mergeCell ref="A17:B17"/>
    <mergeCell ref="A10:B10"/>
    <mergeCell ref="A18:B18"/>
    <mergeCell ref="B30:B31"/>
    <mergeCell ref="A2:B5"/>
    <mergeCell ref="A8:B8"/>
    <mergeCell ref="B19:B20"/>
    <mergeCell ref="A28:B28"/>
    <mergeCell ref="A11:B11"/>
    <mergeCell ref="A12:B12"/>
    <mergeCell ref="A13:B13"/>
    <mergeCell ref="A14:B14"/>
    <mergeCell ref="A15:B15"/>
    <mergeCell ref="A16:B16"/>
  </mergeCells>
  <pageMargins left="0.7" right="0.7" top="0.75" bottom="0.75" header="0.3" footer="0.3"/>
  <pageSetup paperSize="9"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
  <sheetViews>
    <sheetView workbookViewId="0">
      <selection activeCell="G23" sqref="G23"/>
    </sheetView>
  </sheetViews>
  <sheetFormatPr defaultRowHeight="12.75" x14ac:dyDescent="0.2"/>
  <sheetData/>
  <phoneticPr fontId="9"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4"/>
  <dimension ref="A1:I57"/>
  <sheetViews>
    <sheetView showGridLines="0" zoomScaleNormal="100" workbookViewId="0">
      <selection activeCell="J1" sqref="J1"/>
    </sheetView>
  </sheetViews>
  <sheetFormatPr defaultColWidth="34.7109375" defaultRowHeight="12" x14ac:dyDescent="0.2"/>
  <cols>
    <col min="1" max="1" width="35.5703125" style="658" customWidth="1"/>
    <col min="2" max="2" width="17.5703125" style="658" customWidth="1"/>
    <col min="3" max="3" width="7.28515625" style="658" customWidth="1"/>
    <col min="4" max="4" width="18.5703125" style="658" customWidth="1"/>
    <col min="5" max="5" width="19.140625" style="658" customWidth="1"/>
    <col min="6" max="6" width="16.5703125" style="658" customWidth="1"/>
    <col min="7" max="7" width="3" style="658" customWidth="1"/>
    <col min="8" max="8" width="9.42578125" style="658" bestFit="1" customWidth="1"/>
    <col min="9" max="9" width="9.28515625" style="658" bestFit="1" customWidth="1"/>
    <col min="10" max="10" width="11.42578125" style="658" customWidth="1"/>
    <col min="11" max="11" width="9.5703125" style="658" customWidth="1"/>
    <col min="12" max="12" width="9.42578125" style="658" customWidth="1"/>
    <col min="13" max="13" width="11.85546875" style="658" customWidth="1"/>
    <col min="14" max="14" width="15.140625" style="658" customWidth="1"/>
    <col min="15" max="16384" width="34.7109375" style="658"/>
  </cols>
  <sheetData>
    <row r="1" spans="1:7" x14ac:dyDescent="0.2">
      <c r="A1" s="660"/>
      <c r="B1" s="660"/>
      <c r="C1" s="660"/>
      <c r="D1" s="660"/>
      <c r="E1" s="660"/>
    </row>
    <row r="2" spans="1:7" x14ac:dyDescent="0.2">
      <c r="A2" s="1042" t="str">
        <f>IF(L!$B$719=2,L!B723,L!C723)</f>
        <v>АНАЛИЗ И ЗАКЛЮЧЕНИЕ ПО КРЕДИТНОЙ ЗАЯВКЕ</v>
      </c>
      <c r="B2" s="1042"/>
      <c r="C2" s="1042"/>
      <c r="D2" s="1042"/>
      <c r="E2" s="1042"/>
      <c r="F2" s="1042"/>
    </row>
    <row r="3" spans="1:7" x14ac:dyDescent="0.2">
      <c r="A3" s="665"/>
      <c r="B3" s="665"/>
      <c r="C3" s="665"/>
      <c r="D3" s="665"/>
      <c r="E3" s="665"/>
    </row>
    <row r="4" spans="1:7" ht="12.75" thickBot="1" x14ac:dyDescent="0.25">
      <c r="A4" s="1017" t="str">
        <f>IF(L!$B$719=2,L!B724,L!C724)</f>
        <v>1. Общая информация по заемщику и кредитной заявке</v>
      </c>
      <c r="B4" s="1017"/>
      <c r="C4" s="1017"/>
      <c r="D4" s="1017"/>
      <c r="E4" s="1017"/>
      <c r="F4" s="1017"/>
    </row>
    <row r="5" spans="1:7" ht="24.75" thickBot="1" x14ac:dyDescent="0.25">
      <c r="A5" s="666" t="str">
        <f>IF(L!$B$719=2,L!B730,L!C730)</f>
        <v>Наименование заемщика:</v>
      </c>
      <c r="B5" s="1027"/>
      <c r="C5" s="1028"/>
      <c r="D5" s="1029"/>
      <c r="E5" s="706" t="str">
        <f>IF(L!$B$719=2,L!B725,L!C725)</f>
        <v>Дата подачи заявки во Фронтиэрс:</v>
      </c>
      <c r="F5" s="667"/>
    </row>
    <row r="6" spans="1:7" ht="36.75" thickBot="1" x14ac:dyDescent="0.25">
      <c r="A6" s="666" t="str">
        <f>IF(L!$B$719=2,L!B731,L!C731)</f>
        <v>Категория заемщика:</v>
      </c>
      <c r="B6" s="1027"/>
      <c r="C6" s="1028"/>
      <c r="D6" s="1029"/>
      <c r="E6" s="706" t="str">
        <f>IF(L!$B$719=2,L!B726,L!C726)</f>
        <v>Запрашиваемый срок кредита (в месяцах):</v>
      </c>
      <c r="F6" s="667"/>
    </row>
    <row r="7" spans="1:7" ht="51" customHeight="1" thickBot="1" x14ac:dyDescent="0.25">
      <c r="A7" s="666" t="str">
        <f>IF(L!$B$719=2,L!B732,L!C732)</f>
        <v>Размер запрашиваемого кредита:</v>
      </c>
      <c r="B7" s="1027"/>
      <c r="C7" s="1028"/>
      <c r="D7" s="1029"/>
      <c r="E7" s="706" t="str">
        <f>IF(L!$B$719=2,L!B727,L!C727)</f>
        <v>Текущий остаток задолженности по действующим кредитам Фронтиэрс:</v>
      </c>
      <c r="F7" s="709"/>
    </row>
    <row r="8" spans="1:7" ht="51.75" customHeight="1" thickBot="1" x14ac:dyDescent="0.25">
      <c r="A8" s="666" t="str">
        <f>IF(L!$B$719=2,L!B733,L!C733)</f>
        <v>Лимит кредита к одобрению Кредитным Комитетом (не более 20% от собственного капитала Фронтиэрс или 150% от капитала заемщика):</v>
      </c>
      <c r="B8" s="1027"/>
      <c r="C8" s="1028"/>
      <c r="D8" s="1029"/>
      <c r="E8" s="706" t="str">
        <f>IF(L!$B$719=2,L!B728,L!C728)</f>
        <v>Кол-во действующих кредитов, полученных от компании Фронтиэрс:</v>
      </c>
      <c r="F8" s="709"/>
    </row>
    <row r="9" spans="1:7" ht="63.75" customHeight="1" thickBot="1" x14ac:dyDescent="0.25">
      <c r="A9" s="666" t="str">
        <f>IF(L!$B$719=2,L!B734,L!C734)</f>
        <v>Опишите кредитную историю сотрудничества между Фронтиэрс и заемщиком (когда был выдан первый кредит, объем и кол-во всех полученных кредитов и т.д.):</v>
      </c>
      <c r="B9" s="1039"/>
      <c r="C9" s="1040"/>
      <c r="D9" s="1040"/>
      <c r="E9" s="1040"/>
      <c r="F9" s="1041"/>
      <c r="G9" s="723"/>
    </row>
    <row r="10" spans="1:7" ht="35.25" customHeight="1" thickBot="1" x14ac:dyDescent="0.25">
      <c r="A10" s="666" t="str">
        <f>IF(L!$B$719=2,L!B735,L!C735)</f>
        <v>Информация о структуре акционеров и конечных бенефициариев:</v>
      </c>
      <c r="B10" s="1039"/>
      <c r="C10" s="1040"/>
      <c r="D10" s="1040"/>
      <c r="E10" s="1040"/>
      <c r="F10" s="1041"/>
      <c r="G10" s="723"/>
    </row>
    <row r="11" spans="1:7" ht="30.75" customHeight="1" thickBot="1" x14ac:dyDescent="0.25">
      <c r="A11" s="666" t="str">
        <f>IF(L!$B$719=2,L!B736,L!C736)</f>
        <v>Результаты проверки кредитной истории заемщика в КИБ:</v>
      </c>
      <c r="B11" s="1039"/>
      <c r="C11" s="1040"/>
      <c r="D11" s="1040"/>
      <c r="E11" s="1040"/>
      <c r="F11" s="1041"/>
    </row>
    <row r="12" spans="1:7" ht="36.75" customHeight="1" thickBot="1" x14ac:dyDescent="0.25">
      <c r="A12" s="666" t="str">
        <f>IF(L!$B$719=2,L!B737,L!C737)</f>
        <v>Результаты проверки кредитной истории руководителя и учредителей заемщика в КИБ:</v>
      </c>
      <c r="B12" s="1039"/>
      <c r="C12" s="1040"/>
      <c r="D12" s="1040"/>
      <c r="E12" s="1040"/>
      <c r="F12" s="1041"/>
    </row>
    <row r="13" spans="1:7" ht="53.25" customHeight="1" thickBot="1" x14ac:dyDescent="0.25">
      <c r="A13" s="666" t="str">
        <f>IF(L!$B$719=2,L!B738,L!C738)</f>
        <v>Результаты проверки заемщика / руководителя/участников на соответствие законодательству по ПФТ/ОД:</v>
      </c>
      <c r="B13" s="1039"/>
      <c r="C13" s="1040"/>
      <c r="D13" s="1040"/>
      <c r="E13" s="1040"/>
      <c r="F13" s="1041"/>
    </row>
    <row r="14" spans="1:7" x14ac:dyDescent="0.2">
      <c r="A14" s="661"/>
      <c r="B14" s="668"/>
      <c r="C14" s="669"/>
      <c r="D14" s="669"/>
      <c r="E14" s="661"/>
    </row>
    <row r="15" spans="1:7" ht="12.75" thickBot="1" x14ac:dyDescent="0.25">
      <c r="A15" s="1017" t="str">
        <f>IF(L!$B$719=2,L!B739,L!C739)</f>
        <v xml:space="preserve">2. Качественный и количественный анализ </v>
      </c>
      <c r="B15" s="1017"/>
      <c r="C15" s="1017"/>
      <c r="D15" s="1017"/>
      <c r="E15" s="1017"/>
      <c r="F15" s="1017"/>
    </row>
    <row r="16" spans="1:7" ht="12.75" thickBot="1" x14ac:dyDescent="0.25">
      <c r="A16" s="1046" t="str">
        <f>IF(L!$B$719=2,L!B740,L!C740)</f>
        <v>2.1. Анализ качественных характеристик заемщика:</v>
      </c>
      <c r="B16" s="1047"/>
      <c r="C16" s="1047"/>
      <c r="D16" s="1047"/>
      <c r="E16" s="1047"/>
      <c r="F16" s="1048"/>
    </row>
    <row r="17" spans="1:7" ht="77.25" customHeight="1" thickBot="1" x14ac:dyDescent="0.25">
      <c r="A17" s="710" t="str">
        <f>IF(L!$B$719=2,L!B741,L!C741)</f>
        <v>1. Основные результаты и выводы по итогам последнего выездного мониторинга, в том числе общие выводы по качеству управления, планирования, внутреннего контроля и риск менеджмента:</v>
      </c>
      <c r="B17" s="1043"/>
      <c r="C17" s="1044"/>
      <c r="D17" s="1044"/>
      <c r="E17" s="1044"/>
      <c r="F17" s="1045"/>
    </row>
    <row r="18" spans="1:7" ht="41.25" customHeight="1" thickBot="1" x14ac:dyDescent="0.25">
      <c r="A18" s="710" t="str">
        <f>IF(L!$B$719=2,L!B742,L!C742)</f>
        <v>2. Итоги оценки адекватности системы управления кредитным риском у заемщика:</v>
      </c>
      <c r="B18" s="1043"/>
      <c r="C18" s="1044"/>
      <c r="D18" s="1044"/>
      <c r="E18" s="1044"/>
      <c r="F18" s="1045"/>
      <c r="G18" s="670"/>
    </row>
    <row r="19" spans="1:7" ht="42.75" customHeight="1" thickBot="1" x14ac:dyDescent="0.25">
      <c r="A19" s="710" t="str">
        <f>IF(L!$B$719=2,L!B743,L!C743)</f>
        <v>3. Анализ адекватности и соблюдения заемщиком своих кредитных процедур и иных внутренних документов:</v>
      </c>
      <c r="B19" s="1043"/>
      <c r="C19" s="1044"/>
      <c r="D19" s="1044"/>
      <c r="E19" s="1044"/>
      <c r="F19" s="1045"/>
    </row>
    <row r="20" spans="1:7" ht="32.25" customHeight="1" thickBot="1" x14ac:dyDescent="0.25">
      <c r="A20" s="710" t="str">
        <f>IF(L!$B$719=2,L!B744,L!C744)</f>
        <v>4. Статус выполнения лимитов, требований и рекомендаций Фронтиэрс:</v>
      </c>
      <c r="B20" s="1043"/>
      <c r="C20" s="1044"/>
      <c r="D20" s="1044"/>
      <c r="E20" s="1044"/>
      <c r="F20" s="1045"/>
    </row>
    <row r="21" spans="1:7" ht="41.25" customHeight="1" thickBot="1" x14ac:dyDescent="0.25">
      <c r="A21" s="710" t="str">
        <f>IF(L!$B$719=2,L!B745,L!C745)</f>
        <v>5. Итоги последней инспекции НБ. Предписания и статус исполнения предписаний НБ:</v>
      </c>
      <c r="B21" s="1043"/>
      <c r="C21" s="1044"/>
      <c r="D21" s="1044"/>
      <c r="E21" s="1044"/>
      <c r="F21" s="1045"/>
    </row>
    <row r="22" spans="1:7" ht="41.25" customHeight="1" thickBot="1" x14ac:dyDescent="0.25">
      <c r="A22" s="710" t="str">
        <f>IF(L!$B$719=2,L!B746,L!C746)</f>
        <v>6. Выводы по итогам анализа бизнес плана заемщика:</v>
      </c>
      <c r="B22" s="1043"/>
      <c r="C22" s="1044"/>
      <c r="D22" s="1044"/>
      <c r="E22" s="1044"/>
      <c r="F22" s="1045"/>
    </row>
    <row r="23" spans="1:7" ht="36" customHeight="1" thickBot="1" x14ac:dyDescent="0.25">
      <c r="A23" s="710" t="str">
        <f>IF(L!$B$719=2,L!B747,L!C747)</f>
        <v>7. Прочая информация:</v>
      </c>
      <c r="B23" s="1043"/>
      <c r="C23" s="1044"/>
      <c r="D23" s="1044"/>
      <c r="E23" s="1044"/>
      <c r="F23" s="1045"/>
    </row>
    <row r="24" spans="1:7" ht="12.75" thickBot="1" x14ac:dyDescent="0.25">
      <c r="A24" s="1046" t="str">
        <f>IF(L!$B$719=2,L!B748,L!C748)</f>
        <v>2.2. Анализ финансовых индикаторов заемщика:</v>
      </c>
      <c r="B24" s="1047"/>
      <c r="C24" s="1047"/>
      <c r="D24" s="1047"/>
      <c r="E24" s="1047"/>
      <c r="F24" s="1048"/>
    </row>
    <row r="25" spans="1:7" ht="44.25" customHeight="1" thickBot="1" x14ac:dyDescent="0.25">
      <c r="A25" s="666" t="str">
        <f>IF(L!$B$719=2,L!B749,L!C749)</f>
        <v>1. Анализ финансовой отчетности (Баланс, ОПУ) и соответствующие выводы УКП:</v>
      </c>
      <c r="B25" s="1033"/>
      <c r="C25" s="1034"/>
      <c r="D25" s="1034"/>
      <c r="E25" s="1034"/>
      <c r="F25" s="1035"/>
      <c r="G25" s="671"/>
    </row>
    <row r="26" spans="1:7" ht="44.25" customHeight="1" thickBot="1" x14ac:dyDescent="0.25">
      <c r="A26" s="666" t="str">
        <f>IF(L!$B$719=2,L!B750,L!C750)</f>
        <v>2. Анализ финансовых коэффициентов и соответствующие выводы УКП:</v>
      </c>
      <c r="B26" s="1036"/>
      <c r="C26" s="1037"/>
      <c r="D26" s="1037"/>
      <c r="E26" s="1037"/>
      <c r="F26" s="1038"/>
      <c r="G26" s="671"/>
    </row>
    <row r="27" spans="1:7" ht="50.25" customHeight="1" thickBot="1" x14ac:dyDescent="0.25">
      <c r="A27" s="666" t="str">
        <f>IF(L!$B$719=2,L!B751,L!C751)</f>
        <v>3. Анализ кредитных продуктов, динамики и структуры кредитного портфеля и соответствующие выводы УКП:</v>
      </c>
      <c r="B27" s="1033"/>
      <c r="C27" s="1034"/>
      <c r="D27" s="1034"/>
      <c r="E27" s="1034"/>
      <c r="F27" s="1035"/>
    </row>
    <row r="28" spans="1:7" ht="41.25" customHeight="1" thickBot="1" x14ac:dyDescent="0.25">
      <c r="A28" s="666" t="str">
        <f>IF(L!$B$719=2,L!B752,L!C752)</f>
        <v>4. Анализ качества кредитного портфеля и соответствующие выводы УКП:</v>
      </c>
      <c r="B28" s="1036"/>
      <c r="C28" s="1037"/>
      <c r="D28" s="1037"/>
      <c r="E28" s="1037"/>
      <c r="F28" s="1038"/>
    </row>
    <row r="29" spans="1:7" ht="39" customHeight="1" thickBot="1" x14ac:dyDescent="0.25">
      <c r="A29" s="666" t="str">
        <f>IF(L!$B$719=2,L!B753,L!C753)</f>
        <v>5. Прочая информация:</v>
      </c>
      <c r="B29" s="1030"/>
      <c r="C29" s="1031"/>
      <c r="D29" s="1031"/>
      <c r="E29" s="1031"/>
      <c r="F29" s="1032"/>
    </row>
    <row r="30" spans="1:7" x14ac:dyDescent="0.2">
      <c r="A30" s="661"/>
      <c r="B30" s="672"/>
      <c r="C30" s="672"/>
      <c r="D30" s="672"/>
      <c r="E30" s="660"/>
    </row>
    <row r="31" spans="1:7" ht="12.75" thickBot="1" x14ac:dyDescent="0.25">
      <c r="A31" s="1017" t="str">
        <f>IF(L!$B$719=2,L!B754,L!C754)</f>
        <v>3. Укажите ниже значительные риски, идентифицированные в деятельности заемщика</v>
      </c>
      <c r="B31" s="1017"/>
      <c r="C31" s="1017"/>
      <c r="D31" s="1017"/>
      <c r="E31" s="1017"/>
      <c r="F31" s="1017"/>
    </row>
    <row r="32" spans="1:7" ht="63.75" customHeight="1" thickBot="1" x14ac:dyDescent="0.25">
      <c r="A32" s="1018"/>
      <c r="B32" s="1019"/>
      <c r="C32" s="1019"/>
      <c r="D32" s="1019"/>
      <c r="E32" s="1019"/>
      <c r="F32" s="1020"/>
    </row>
    <row r="33" spans="1:9" ht="12.75" thickBot="1" x14ac:dyDescent="0.25">
      <c r="A33" s="669"/>
      <c r="B33" s="660"/>
      <c r="C33" s="660"/>
      <c r="D33" s="673"/>
      <c r="E33" s="673"/>
      <c r="G33" s="674"/>
      <c r="H33" s="674"/>
      <c r="I33" s="674"/>
    </row>
    <row r="34" spans="1:9" ht="18" customHeight="1" thickBot="1" x14ac:dyDescent="0.25">
      <c r="A34" s="1024" t="str">
        <f>IF(L!$B$719=2,L!B755,L!C755)</f>
        <v>4. Заключение и выводы УПРАВЛЯЮЩЕГО КРЕДИТНЫМ ПОРТФЕЛЕМ</v>
      </c>
      <c r="B34" s="1025"/>
      <c r="C34" s="1025"/>
      <c r="D34" s="1025"/>
      <c r="E34" s="1025"/>
      <c r="F34" s="1026"/>
    </row>
    <row r="35" spans="1:9" ht="27" customHeight="1" thickBot="1" x14ac:dyDescent="0.25">
      <c r="A35" s="667" t="str">
        <f>IF(L!$B$719=2,L!B756,L!C756)</f>
        <v>Основные выводы о кредитоспособности заемщика:</v>
      </c>
      <c r="B35" s="1021"/>
      <c r="C35" s="1022"/>
      <c r="D35" s="1022"/>
      <c r="E35" s="1022"/>
      <c r="F35" s="1023"/>
    </row>
    <row r="36" spans="1:9" ht="13.5" customHeight="1" thickBot="1" x14ac:dyDescent="0.25">
      <c r="A36" s="675" t="str">
        <f>IF(L!$B$719=2,L!B757,L!C757)</f>
        <v xml:space="preserve">Настоящим, я (ФИО УКП) - </v>
      </c>
      <c r="B36" s="1027"/>
      <c r="C36" s="1028"/>
      <c r="D36" s="1028"/>
      <c r="E36" s="1028"/>
      <c r="F36" s="1029"/>
    </row>
    <row r="37" spans="1:9" ht="40.5" customHeight="1" x14ac:dyDescent="0.2">
      <c r="A37" s="1012" t="str">
        <f>IF(L!$B$719=2,L!B758,L!C758)</f>
        <v>подтверждаю, что мною произведен полный и всесторонний анализ настоящей заявки и бизнес-плана заявителя в соответствии с требованиями Кредитных Политик и Процедур, Руководства по Анализу и Мониторинга Заемщиков, на основании которого я предлагаю:</v>
      </c>
      <c r="B37" s="1013"/>
      <c r="C37" s="1013"/>
      <c r="D37" s="1013"/>
      <c r="E37" s="1013"/>
      <c r="F37" s="1014"/>
    </row>
    <row r="38" spans="1:9" ht="12" customHeight="1" x14ac:dyDescent="0.2">
      <c r="A38" s="713"/>
      <c r="F38" s="707"/>
    </row>
    <row r="39" spans="1:9" x14ac:dyDescent="0.2">
      <c r="A39" s="724" t="str">
        <f>IF(L!$B$719=2,L!B759,L!C759)</f>
        <v xml:space="preserve">       Одобрить кредитную заявку на следующих условиях: </v>
      </c>
      <c r="C39" s="725" t="str">
        <f>IF(L!$B$719=2,L!B760,L!C760)</f>
        <v xml:space="preserve">       Отклонить кредитную заявку</v>
      </c>
      <c r="D39" s="715"/>
      <c r="E39" s="725" t="str">
        <f>IF(L!$B$719=2,L!B761,L!C761)</f>
        <v xml:space="preserve">                Отложить кредитную заявку</v>
      </c>
      <c r="F39" s="716"/>
    </row>
    <row r="40" spans="1:9" x14ac:dyDescent="0.2">
      <c r="A40" s="713"/>
      <c r="C40" s="715"/>
      <c r="D40" s="715"/>
      <c r="E40" s="715"/>
      <c r="F40" s="716"/>
    </row>
    <row r="41" spans="1:9" x14ac:dyDescent="0.2">
      <c r="A41" s="720" t="str">
        <f>IF(L!$B$719=2,L!B762,L!C762)</f>
        <v>РЕКОМЕНДУЕМЫЕ УКП УСЛОВИЯ КРЕДИТА</v>
      </c>
      <c r="C41" s="717"/>
      <c r="D41" s="717"/>
      <c r="E41" s="717"/>
      <c r="F41" s="721"/>
    </row>
    <row r="42" spans="1:9" x14ac:dyDescent="0.2">
      <c r="A42" s="719" t="str">
        <f>IF(L!$B$719=2,L!B763,L!C763)</f>
        <v>Сумма кредита:</v>
      </c>
      <c r="B42" s="711"/>
      <c r="F42" s="707"/>
    </row>
    <row r="43" spans="1:9" x14ac:dyDescent="0.2">
      <c r="A43" s="719" t="str">
        <f>IF(L!$B$719=2,L!B764,L!C764)</f>
        <v>Процентная ставка:</v>
      </c>
      <c r="B43" s="712"/>
      <c r="C43" s="718"/>
      <c r="D43" s="718"/>
      <c r="F43" s="707"/>
    </row>
    <row r="44" spans="1:9" x14ac:dyDescent="0.2">
      <c r="A44" s="719" t="str">
        <f>IF(L!$B$719=2,L!B765,L!C765)</f>
        <v>Срок:</v>
      </c>
      <c r="B44" s="722"/>
      <c r="C44" s="718"/>
      <c r="D44" s="718"/>
      <c r="F44" s="707"/>
    </row>
    <row r="45" spans="1:9" ht="12" customHeight="1" x14ac:dyDescent="0.2">
      <c r="A45" s="719" t="str">
        <f>IF(L!$B$719=2,L!B766,L!C766)</f>
        <v>Цель кредита:</v>
      </c>
      <c r="B45" s="1016"/>
      <c r="C45" s="1016"/>
      <c r="D45" s="1016"/>
      <c r="F45" s="707"/>
    </row>
    <row r="46" spans="1:9" ht="12.75" thickBot="1" x14ac:dyDescent="0.25">
      <c r="A46" s="726" t="str">
        <f>IF(L!$B$719=2,L!B767,L!C767)</f>
        <v>Дополнительные условия:</v>
      </c>
      <c r="B46" s="1015"/>
      <c r="C46" s="1015"/>
      <c r="D46" s="1015"/>
      <c r="E46" s="714"/>
      <c r="F46" s="708"/>
    </row>
    <row r="50" spans="1:6" x14ac:dyDescent="0.2">
      <c r="A50" s="657" t="str">
        <f>IF(L!$B$719=2,L!B769,L!C769)</f>
        <v>Ответственный УКП:_______________________________</v>
      </c>
      <c r="B50" s="657"/>
      <c r="D50" s="659" t="str">
        <f>IF(L!$B$719=2,L!B770,L!C770)</f>
        <v>подпись:______________</v>
      </c>
      <c r="E50" s="657"/>
      <c r="F50" s="664" t="str">
        <f>IF(L!$B$719=2,L!B771,L!C771)</f>
        <v>дата:____________</v>
      </c>
    </row>
    <row r="51" spans="1:6" x14ac:dyDescent="0.2">
      <c r="A51" s="660"/>
      <c r="B51" s="661"/>
      <c r="C51" s="662"/>
      <c r="D51" s="662"/>
      <c r="E51" s="662"/>
    </row>
    <row r="52" spans="1:6" x14ac:dyDescent="0.2">
      <c r="A52" s="660"/>
      <c r="B52" s="661"/>
      <c r="C52" s="662"/>
      <c r="D52" s="662"/>
      <c r="E52" s="662"/>
    </row>
    <row r="53" spans="1:6" x14ac:dyDescent="0.2">
      <c r="A53" s="663" t="str">
        <f>IF(L!$B$719=2,L!B772,L!C772)</f>
        <v xml:space="preserve">Соответствие данного заключения требованиям Руководства по Анализу и Мониторинга Заемщиков </v>
      </c>
      <c r="B53" s="660"/>
      <c r="C53" s="660"/>
      <c r="D53" s="660"/>
      <c r="E53" s="660"/>
    </row>
    <row r="54" spans="1:6" x14ac:dyDescent="0.2">
      <c r="A54" s="663" t="str">
        <f>IF(L!$B$719=2,L!B773,L!C773)</f>
        <v>проверено непосредственным руководителем:</v>
      </c>
      <c r="B54" s="660"/>
      <c r="C54" s="660"/>
      <c r="D54" s="660"/>
      <c r="E54" s="660"/>
    </row>
    <row r="55" spans="1:6" x14ac:dyDescent="0.2">
      <c r="A55" s="663"/>
      <c r="B55" s="660"/>
      <c r="C55" s="660"/>
      <c r="D55" s="660"/>
      <c r="E55" s="660"/>
    </row>
    <row r="56" spans="1:6" x14ac:dyDescent="0.2">
      <c r="B56" s="660"/>
      <c r="C56" s="660"/>
      <c r="D56" s="660"/>
      <c r="E56" s="660"/>
    </row>
    <row r="57" spans="1:6" x14ac:dyDescent="0.2">
      <c r="A57" s="657" t="str">
        <f>IF(L!$B$719=2,L!B774,L!C774)</f>
        <v>Непосредственный руководитель:__________________________</v>
      </c>
      <c r="B57" s="660"/>
      <c r="D57" s="659" t="str">
        <f>IF(L!$B$719=2,L!B770,L!C770)</f>
        <v>подпись:______________</v>
      </c>
      <c r="E57" s="657"/>
      <c r="F57" s="657" t="str">
        <f>IF(L!$B$719=2,L!B771,L!C771)</f>
        <v>дата:____________</v>
      </c>
    </row>
  </sheetData>
  <mergeCells count="32">
    <mergeCell ref="B25:F26"/>
    <mergeCell ref="A24:F24"/>
    <mergeCell ref="B18:F18"/>
    <mergeCell ref="B19:F19"/>
    <mergeCell ref="B20:F20"/>
    <mergeCell ref="B21:F21"/>
    <mergeCell ref="B23:F23"/>
    <mergeCell ref="B22:F22"/>
    <mergeCell ref="B29:F29"/>
    <mergeCell ref="B27:F28"/>
    <mergeCell ref="B9:F9"/>
    <mergeCell ref="A2:F2"/>
    <mergeCell ref="A4:F4"/>
    <mergeCell ref="B5:D5"/>
    <mergeCell ref="B6:D6"/>
    <mergeCell ref="B7:D7"/>
    <mergeCell ref="B8:D8"/>
    <mergeCell ref="B10:F10"/>
    <mergeCell ref="B11:F11"/>
    <mergeCell ref="B12:F12"/>
    <mergeCell ref="A15:F15"/>
    <mergeCell ref="B17:F17"/>
    <mergeCell ref="B13:F13"/>
    <mergeCell ref="A16:F16"/>
    <mergeCell ref="A37:F37"/>
    <mergeCell ref="B46:D46"/>
    <mergeCell ref="B45:D45"/>
    <mergeCell ref="A31:F31"/>
    <mergeCell ref="A32:F32"/>
    <mergeCell ref="B35:F35"/>
    <mergeCell ref="A34:F34"/>
    <mergeCell ref="B36:F36"/>
  </mergeCells>
  <phoneticPr fontId="9" type="noConversion"/>
  <pageMargins left="0.39" right="0.32" top="0.49" bottom="0.19" header="0.5" footer="0.18"/>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0502" r:id="rId4" name="Drop Down 22">
              <controlPr defaultSize="0" autoLine="0" autoPict="0">
                <anchor moveWithCells="1">
                  <from>
                    <xdr:col>4</xdr:col>
                    <xdr:colOff>428625</xdr:colOff>
                    <xdr:row>0</xdr:row>
                    <xdr:rowOff>104775</xdr:rowOff>
                  </from>
                  <to>
                    <xdr:col>5</xdr:col>
                    <xdr:colOff>200025</xdr:colOff>
                    <xdr:row>2</xdr:row>
                    <xdr:rowOff>38100</xdr:rowOff>
                  </to>
                </anchor>
              </controlPr>
            </control>
          </mc:Choice>
        </mc:AlternateContent>
        <mc:AlternateContent xmlns:mc="http://schemas.openxmlformats.org/markup-compatibility/2006">
          <mc:Choice Requires="x14">
            <control shapeId="1940481" r:id="rId5" name="Check Box 1">
              <controlPr defaultSize="0" autoFill="0" autoLine="0" autoPict="0">
                <anchor moveWithCells="1">
                  <from>
                    <xdr:col>0</xdr:col>
                    <xdr:colOff>28575</xdr:colOff>
                    <xdr:row>37</xdr:row>
                    <xdr:rowOff>38100</xdr:rowOff>
                  </from>
                  <to>
                    <xdr:col>0</xdr:col>
                    <xdr:colOff>333375</xdr:colOff>
                    <xdr:row>39</xdr:row>
                    <xdr:rowOff>114300</xdr:rowOff>
                  </to>
                </anchor>
              </controlPr>
            </control>
          </mc:Choice>
        </mc:AlternateContent>
        <mc:AlternateContent xmlns:mc="http://schemas.openxmlformats.org/markup-compatibility/2006">
          <mc:Choice Requires="x14">
            <control shapeId="1940482" r:id="rId6" name="Check Box 2">
              <controlPr defaultSize="0" autoFill="0" autoLine="0" autoPict="0">
                <anchor moveWithCells="1">
                  <from>
                    <xdr:col>2</xdr:col>
                    <xdr:colOff>19050</xdr:colOff>
                    <xdr:row>37</xdr:row>
                    <xdr:rowOff>95250</xdr:rowOff>
                  </from>
                  <to>
                    <xdr:col>2</xdr:col>
                    <xdr:colOff>257175</xdr:colOff>
                    <xdr:row>39</xdr:row>
                    <xdr:rowOff>66675</xdr:rowOff>
                  </to>
                </anchor>
              </controlPr>
            </control>
          </mc:Choice>
        </mc:AlternateContent>
        <mc:AlternateContent xmlns:mc="http://schemas.openxmlformats.org/markup-compatibility/2006">
          <mc:Choice Requires="x14">
            <control shapeId="1940483" r:id="rId7" name="Check Box 3">
              <controlPr defaultSize="0" autoFill="0" autoLine="0" autoPict="0">
                <anchor moveWithCells="1">
                  <from>
                    <xdr:col>4</xdr:col>
                    <xdr:colOff>247650</xdr:colOff>
                    <xdr:row>37</xdr:row>
                    <xdr:rowOff>85725</xdr:rowOff>
                  </from>
                  <to>
                    <xdr:col>4</xdr:col>
                    <xdr:colOff>476250</xdr:colOff>
                    <xdr:row>39</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dimension ref="A1:J63"/>
  <sheetViews>
    <sheetView showGridLines="0" zoomScaleNormal="100" workbookViewId="0">
      <pane ySplit="4" topLeftCell="A38" activePane="bottomLeft" state="frozen"/>
      <selection pane="bottomLeft" activeCell="F44" sqref="F44"/>
    </sheetView>
  </sheetViews>
  <sheetFormatPr defaultColWidth="13.28515625" defaultRowHeight="11.25" x14ac:dyDescent="0.2"/>
  <cols>
    <col min="1" max="1" width="35.42578125" style="2" customWidth="1"/>
    <col min="2" max="2" width="185.42578125" style="2" hidden="1" customWidth="1"/>
    <col min="3" max="3" width="36.5703125" style="2" bestFit="1" customWidth="1"/>
    <col min="4" max="9" width="9.28515625" style="6" customWidth="1"/>
    <col min="10" max="10" width="11.5703125" style="6" bestFit="1" customWidth="1"/>
    <col min="11" max="16384" width="13.28515625" style="6"/>
  </cols>
  <sheetData>
    <row r="1" spans="1:10" x14ac:dyDescent="0.2">
      <c r="A1" s="60" t="e">
        <f>IF('Заключение УКП'!#REF!&gt;0,'Заключение УКП'!#REF!,"")</f>
        <v>#REF!</v>
      </c>
    </row>
    <row r="2" spans="1:10" x14ac:dyDescent="0.2">
      <c r="A2" s="1071" t="str">
        <f>IF(L!$B$105=1,L!B109,L!D109)</f>
        <v>АНАЛИЗ ФИНАНСОВЫХ КОЭФФИЦИЕНТОВ</v>
      </c>
      <c r="D2" s="90" t="str">
        <f>IF(D33="","",D33)</f>
        <v/>
      </c>
      <c r="E2" s="90" t="str">
        <f>IF(E33="","",E33)</f>
        <v/>
      </c>
      <c r="F2" s="90" t="str">
        <f>IF(F33="","",F33)</f>
        <v/>
      </c>
      <c r="G2" s="90" t="str">
        <f>IF(G33="","",G33)</f>
        <v/>
      </c>
      <c r="H2" s="90"/>
      <c r="I2" s="90"/>
      <c r="J2" s="90"/>
    </row>
    <row r="3" spans="1:10" ht="12" thickBot="1" x14ac:dyDescent="0.25">
      <c r="A3" s="1072"/>
      <c r="D3" s="71" t="e">
        <f t="shared" ref="D3:I3" si="0">MONTH(D4)</f>
        <v>#VALUE!</v>
      </c>
      <c r="E3" s="71" t="e">
        <f t="shared" si="0"/>
        <v>#VALUE!</v>
      </c>
      <c r="F3" s="71" t="e">
        <f t="shared" si="0"/>
        <v>#VALUE!</v>
      </c>
      <c r="G3" s="71" t="e">
        <f t="shared" si="0"/>
        <v>#VALUE!</v>
      </c>
      <c r="H3" s="71" t="e">
        <f t="shared" si="0"/>
        <v>#VALUE!</v>
      </c>
      <c r="I3" s="71">
        <f t="shared" si="0"/>
        <v>1</v>
      </c>
      <c r="J3" s="90"/>
    </row>
    <row r="4" spans="1:10" ht="12" thickBot="1" x14ac:dyDescent="0.25">
      <c r="A4" s="1083" t="str">
        <f>IF(L!$B$105=1,L!C13,L!B13)</f>
        <v>ОТЧЕТНЫЙ ПЕРИОД :</v>
      </c>
      <c r="B4" s="1084"/>
      <c r="C4" s="1084"/>
      <c r="D4" s="63" t="str">
        <f>Баланс!C6</f>
        <v/>
      </c>
      <c r="E4" s="63" t="str">
        <f>Баланс!D6</f>
        <v/>
      </c>
      <c r="F4" s="63" t="str">
        <f>Баланс!E6</f>
        <v/>
      </c>
      <c r="G4" s="63" t="str">
        <f>Баланс!F6</f>
        <v/>
      </c>
      <c r="H4" s="63" t="str">
        <f>Баланс!G6</f>
        <v/>
      </c>
      <c r="I4" s="63">
        <f>Баланс!H6</f>
        <v>0</v>
      </c>
      <c r="J4" s="64" t="str">
        <f>IF(L!$B$105=1,L!C107,L!D107)</f>
        <v>Оптимально</v>
      </c>
    </row>
    <row r="5" spans="1:10" ht="12" thickBot="1" x14ac:dyDescent="0.25">
      <c r="A5" s="1073" t="str">
        <f>IF(L!$B$105=1,L!B110,L!D110)</f>
        <v>Устойчивость и Доходность</v>
      </c>
      <c r="B5" s="1074"/>
      <c r="C5" s="1074"/>
      <c r="D5" s="258"/>
      <c r="E5" s="258"/>
      <c r="F5" s="258"/>
      <c r="G5" s="258"/>
      <c r="H5" s="258"/>
      <c r="I5" s="258"/>
      <c r="J5" s="67"/>
    </row>
    <row r="6" spans="1:10" x14ac:dyDescent="0.2">
      <c r="A6" s="1062" t="str">
        <f>IF(L!$B$105=1,L!B111,L!D111)</f>
        <v xml:space="preserve">Операционная Самоокупаемость </v>
      </c>
      <c r="B6" s="1063" t="s">
        <v>428</v>
      </c>
      <c r="C6" s="65" t="str">
        <f>IF(L!$B$105=1,L!C111,L!E111)</f>
        <v>Финансовый доход</v>
      </c>
      <c r="D6" s="1096" t="e">
        <f>(ОПУ!C12+ОПУ!C33)/(ОПУ!C17+ОПУ!C19+ОПУ!C26)</f>
        <v>#DIV/0!</v>
      </c>
      <c r="E6" s="1096" t="e">
        <f>(ОПУ!D12+ОПУ!D33)/(ОПУ!D17+ОПУ!D19+ОПУ!D26)</f>
        <v>#DIV/0!</v>
      </c>
      <c r="F6" s="1096" t="e">
        <f>(ОПУ!E12+ОПУ!E33)/(ОПУ!E17+ОПУ!E19+ОПУ!E26)</f>
        <v>#DIV/0!</v>
      </c>
      <c r="G6" s="1096" t="e">
        <f>(ОПУ!F12+ОПУ!F33)/(ОПУ!F17+ОПУ!F19+ОПУ!F26)</f>
        <v>#DIV/0!</v>
      </c>
      <c r="H6" s="1096" t="e">
        <f>(ОПУ!G12+ОПУ!G33)/(ОПУ!G17+ОПУ!G19+ОПУ!G26)</f>
        <v>#DIV/0!</v>
      </c>
      <c r="I6" s="1096" t="e">
        <f>(ОПУ!H12+ОПУ!H33)/(ОПУ!H17+ОПУ!H19+ОПУ!H26)</f>
        <v>#DIV/0!</v>
      </c>
      <c r="J6" s="1057" t="s">
        <v>461</v>
      </c>
    </row>
    <row r="7" spans="1:10" ht="33.75" x14ac:dyDescent="0.2">
      <c r="A7" s="1054"/>
      <c r="B7" s="1064"/>
      <c r="C7" s="16" t="str">
        <f>IF(L!$B$105=1,L!C112,L!E112)</f>
        <v>(Финансовые расходы + Изменение резерва под убытки (Провизия)  + Операционные расходы)</v>
      </c>
      <c r="D7" s="1080"/>
      <c r="E7" s="1080"/>
      <c r="F7" s="1080"/>
      <c r="G7" s="1080"/>
      <c r="H7" s="1080"/>
      <c r="I7" s="1080"/>
      <c r="J7" s="1052"/>
    </row>
    <row r="8" spans="1:10" x14ac:dyDescent="0.2">
      <c r="A8" s="1054" t="str">
        <f>IF(L!$B$105=1,L!B117,L!D117)</f>
        <v>Доходность активов (ROA)</v>
      </c>
      <c r="B8" s="1064" t="s">
        <v>433</v>
      </c>
      <c r="C8" s="15" t="str">
        <f>IF(L!$B$105=1,L!C117,L!E117)</f>
        <v>Чистая прибыль после уплаты налогов</v>
      </c>
      <c r="D8" s="1058" t="e">
        <f>ОПУ!C36*(12/'Коэф-ты'!D3)/(Баланс!C22/2)</f>
        <v>#VALUE!</v>
      </c>
      <c r="E8" s="1058" t="e">
        <f>ОПУ!D36*(12/'Коэф-ты'!E3)/((Баланс!C22+Баланс!D22)/2)</f>
        <v>#VALUE!</v>
      </c>
      <c r="F8" s="1058" t="e">
        <f>ОПУ!E36*(12/'Коэф-ты'!F3)/((Баланс!D22+Баланс!E22)/2)</f>
        <v>#VALUE!</v>
      </c>
      <c r="G8" s="1058" t="e">
        <f>ОПУ!F36*(12/'Коэф-ты'!G3)/((Баланс!E22+Баланс!F22)/2)</f>
        <v>#VALUE!</v>
      </c>
      <c r="H8" s="1058" t="e">
        <f>ОПУ!G36*(12/'Коэф-ты'!H3)/((Баланс!F22+Баланс!G22)/2)</f>
        <v>#VALUE!</v>
      </c>
      <c r="I8" s="1058" t="e">
        <f>ОПУ!H36*(12/'Коэф-ты'!I3)/((Баланс!G22+Баланс!H22)/2)</f>
        <v>#DIV/0!</v>
      </c>
      <c r="J8" s="1052" t="s">
        <v>1000</v>
      </c>
    </row>
    <row r="9" spans="1:10" x14ac:dyDescent="0.2">
      <c r="A9" s="1054"/>
      <c r="B9" s="1064"/>
      <c r="C9" s="16" t="str">
        <f>IF(L!$B$105=1,L!C118,L!E118)</f>
        <v>Средний итог активов</v>
      </c>
      <c r="D9" s="1058"/>
      <c r="E9" s="1058"/>
      <c r="F9" s="1058"/>
      <c r="G9" s="1058"/>
      <c r="H9" s="1058"/>
      <c r="I9" s="1058"/>
      <c r="J9" s="1052"/>
    </row>
    <row r="10" spans="1:10" x14ac:dyDescent="0.2">
      <c r="A10" s="1054" t="str">
        <f>IF(L!$B$105=1,L!B121,L!D121)</f>
        <v>Доходность капитала (ROE)</v>
      </c>
      <c r="B10" s="1064" t="s">
        <v>438</v>
      </c>
      <c r="C10" s="15" t="str">
        <f>IF(L!$B$105=1,L!C121,L!E121)</f>
        <v>Чистая прибыль после уплаты налогов</v>
      </c>
      <c r="D10" s="1060" t="e">
        <f>ОПУ!C36*(12/'Коэф-ты'!D3)/(Баланс!C45/2)</f>
        <v>#VALUE!</v>
      </c>
      <c r="E10" s="1060" t="e">
        <f>ОПУ!D36*(12/'Коэф-ты'!E3)/((Баланс!C45+Баланс!D45)/2)</f>
        <v>#VALUE!</v>
      </c>
      <c r="F10" s="1060" t="e">
        <f>ОПУ!E36*(12/'Коэф-ты'!F3)/((Баланс!D45+Баланс!E45)/2)</f>
        <v>#VALUE!</v>
      </c>
      <c r="G10" s="1060" t="e">
        <f>ОПУ!F36*(12/'Коэф-ты'!G3)/((Баланс!E45+Баланс!F45)/2)</f>
        <v>#VALUE!</v>
      </c>
      <c r="H10" s="1060" t="e">
        <f>ОПУ!G36*(12/'Коэф-ты'!H3)/((Баланс!F45+Баланс!G45)/2)</f>
        <v>#VALUE!</v>
      </c>
      <c r="I10" s="1060" t="e">
        <f>ОПУ!H36*(12/'Коэф-ты'!I3)/((Баланс!G45+Баланс!H45)/2)</f>
        <v>#DIV/0!</v>
      </c>
      <c r="J10" s="1052" t="s">
        <v>1000</v>
      </c>
    </row>
    <row r="11" spans="1:10" ht="12" thickBot="1" x14ac:dyDescent="0.25">
      <c r="A11" s="1085"/>
      <c r="B11" s="1077"/>
      <c r="C11" s="62" t="str">
        <f>IF(L!$B$105=1,L!C122,L!E122)</f>
        <v>Средний итог капитала</v>
      </c>
      <c r="D11" s="1061"/>
      <c r="E11" s="1061"/>
      <c r="F11" s="1061"/>
      <c r="G11" s="1061"/>
      <c r="H11" s="1061"/>
      <c r="I11" s="1061"/>
      <c r="J11" s="1053"/>
    </row>
    <row r="12" spans="1:10" ht="12" thickBot="1" x14ac:dyDescent="0.25">
      <c r="A12" s="1075" t="str">
        <f>IF(L!$B$105=1,L!B125,L!D125)</f>
        <v>Управление активами/пассивами</v>
      </c>
      <c r="B12" s="1076"/>
      <c r="C12" s="1076"/>
      <c r="D12" s="326"/>
      <c r="E12" s="326"/>
      <c r="F12" s="326"/>
      <c r="G12" s="326"/>
      <c r="H12" s="326"/>
      <c r="I12" s="326"/>
      <c r="J12" s="68"/>
    </row>
    <row r="13" spans="1:10" x14ac:dyDescent="0.2">
      <c r="A13" s="1062" t="str">
        <f>IF(L!$B$105=1,L!B130,L!D130)</f>
        <v>Соотношение кредитного портфеля к общим активам</v>
      </c>
      <c r="B13" s="1063" t="s">
        <v>446</v>
      </c>
      <c r="C13" s="65" t="str">
        <f>IF(L!$B$105=1,L!C130,L!E130)</f>
        <v>Общий кредитный портфель</v>
      </c>
      <c r="D13" s="1065" t="e">
        <f>Баланс!C13/Баланс!C22</f>
        <v>#DIV/0!</v>
      </c>
      <c r="E13" s="1065" t="e">
        <f>Баланс!D13/Баланс!D22</f>
        <v>#DIV/0!</v>
      </c>
      <c r="F13" s="1065" t="e">
        <f>Баланс!E13/Баланс!E22</f>
        <v>#DIV/0!</v>
      </c>
      <c r="G13" s="1065" t="e">
        <f>Баланс!F13/Баланс!F22</f>
        <v>#DIV/0!</v>
      </c>
      <c r="H13" s="1065" t="e">
        <f>Баланс!G13/Баланс!G22</f>
        <v>#DIV/0!</v>
      </c>
      <c r="I13" s="1065" t="e">
        <f>Баланс!H13/Баланс!H22</f>
        <v>#DIV/0!</v>
      </c>
      <c r="J13" s="1057" t="s">
        <v>476</v>
      </c>
    </row>
    <row r="14" spans="1:10" x14ac:dyDescent="0.2">
      <c r="A14" s="1054"/>
      <c r="B14" s="1064"/>
      <c r="C14" s="16" t="str">
        <f>IF(L!$B$105=1,L!C131,L!E131)</f>
        <v>Итого активы</v>
      </c>
      <c r="D14" s="1058"/>
      <c r="E14" s="1058"/>
      <c r="F14" s="1058"/>
      <c r="G14" s="1058"/>
      <c r="H14" s="1058"/>
      <c r="I14" s="1058"/>
      <c r="J14" s="1052"/>
    </row>
    <row r="15" spans="1:10" x14ac:dyDescent="0.2">
      <c r="A15" s="1054" t="str">
        <f>IF(L!$B$105=1,L!B132,L!D132)</f>
        <v>Стоимость средств</v>
      </c>
      <c r="B15" s="1064" t="s">
        <v>449</v>
      </c>
      <c r="C15" s="15" t="str">
        <f>IF(L!$B$105=1,L!C132,L!E132)</f>
        <v>Финансовые расходы по внешним ресурсам</v>
      </c>
      <c r="D15" s="1058" t="e">
        <f>ОПУ!C17*(12/'Коэф-ты'!D3)/((Баланс!C25+Баланс!C26+Баланс!C27+Баланс!C31+Баланс!C32)/2)</f>
        <v>#VALUE!</v>
      </c>
      <c r="E15" s="1058" t="e">
        <f>ОПУ!D17*(12/'Коэф-ты'!E3)/((Баланс!C25+Баланс!C26+Баланс!C27+Баланс!C31+Баланс!C32+Баланс!D25+Баланс!D26+Баланс!D27+Баланс!D31+Баланс!D32)/2)</f>
        <v>#VALUE!</v>
      </c>
      <c r="F15" s="1058" t="e">
        <f>ОПУ!E17*(12/'Коэф-ты'!F3)/((Баланс!D25+Баланс!D26+Баланс!D27+Баланс!D31+Баланс!D32+Баланс!E25+Баланс!E26+Баланс!E27+Баланс!E31+Баланс!E32)/2)</f>
        <v>#VALUE!</v>
      </c>
      <c r="G15" s="1058" t="e">
        <f>ОПУ!F17*(12/'Коэф-ты'!G3)/((Баланс!E25+Баланс!E26+Баланс!E27+Баланс!E31+Баланс!E32+Баланс!F25+Баланс!F26+Баланс!F27+Баланс!F31+Баланс!F32)/2)</f>
        <v>#VALUE!</v>
      </c>
      <c r="H15" s="1058" t="e">
        <f>ОПУ!G17*(12/'Коэф-ты'!H3)/((Баланс!F25+Баланс!F26+Баланс!F27+Баланс!F31+Баланс!F32+Баланс!G25+Баланс!G26+Баланс!G27+Баланс!G31+Баланс!G32)/2)</f>
        <v>#VALUE!</v>
      </c>
      <c r="I15" s="1058" t="e">
        <f>ОПУ!H17*(12/'Коэф-ты'!I3)/((Баланс!G25+Баланс!G26+Баланс!G27+Баланс!G31+Баланс!G32+Баланс!H25+Баланс!H26+Баланс!H27+Баланс!H31+Баланс!H32)/2)</f>
        <v>#DIV/0!</v>
      </c>
      <c r="J15" s="1052"/>
    </row>
    <row r="16" spans="1:10" ht="22.5" x14ac:dyDescent="0.2">
      <c r="A16" s="1054"/>
      <c r="B16" s="1064"/>
      <c r="C16" s="16" t="str">
        <f>IF(L!$B$105=1,L!C133,L!E133)</f>
        <v>(Средний итог депозитов + Средний итог внешних займов)</v>
      </c>
      <c r="D16" s="1058"/>
      <c r="E16" s="1058"/>
      <c r="F16" s="1058"/>
      <c r="G16" s="1058"/>
      <c r="H16" s="1058"/>
      <c r="I16" s="1058"/>
      <c r="J16" s="1052"/>
    </row>
    <row r="17" spans="1:10" x14ac:dyDescent="0.2">
      <c r="A17" s="1054" t="str">
        <f>IF(L!$B$105=1,L!B136,L!D136)</f>
        <v>Соотношение обязательств к капиталу</v>
      </c>
      <c r="B17" s="1064" t="s">
        <v>454</v>
      </c>
      <c r="C17" s="15" t="str">
        <f>IF(L!$B$105=1,L!C136,L!E136)</f>
        <v>Обязательства</v>
      </c>
      <c r="D17" s="1059" t="e">
        <f>Баланс!C34/Баланс!C45</f>
        <v>#DIV/0!</v>
      </c>
      <c r="E17" s="1059" t="e">
        <f>Баланс!D34/Баланс!D45</f>
        <v>#DIV/0!</v>
      </c>
      <c r="F17" s="1059" t="e">
        <f>Баланс!E34/Баланс!E45</f>
        <v>#DIV/0!</v>
      </c>
      <c r="G17" s="1059" t="e">
        <f>Баланс!F34/Баланс!F45</f>
        <v>#DIV/0!</v>
      </c>
      <c r="H17" s="1059" t="e">
        <f>Баланс!G34/Баланс!G45</f>
        <v>#DIV/0!</v>
      </c>
      <c r="I17" s="1059" t="e">
        <f>Баланс!H34/Баланс!H45</f>
        <v>#DIV/0!</v>
      </c>
      <c r="J17" s="1052"/>
    </row>
    <row r="18" spans="1:10" x14ac:dyDescent="0.2">
      <c r="A18" s="1054"/>
      <c r="B18" s="1064"/>
      <c r="C18" s="16" t="str">
        <f>IF(L!$B$105=1,L!C137,L!E137)</f>
        <v>Капитал</v>
      </c>
      <c r="D18" s="1059"/>
      <c r="E18" s="1059"/>
      <c r="F18" s="1059"/>
      <c r="G18" s="1059"/>
      <c r="H18" s="1059"/>
      <c r="I18" s="1059"/>
      <c r="J18" s="1052"/>
    </row>
    <row r="19" spans="1:10" x14ac:dyDescent="0.2">
      <c r="A19" s="1054" t="str">
        <f>IF(L!$B$105=1,L!B138,L!D138)</f>
        <v>Соотношение кредитов + депозитов к капиталу</v>
      </c>
      <c r="B19" s="257"/>
      <c r="C19" s="15" t="str">
        <f>IF(L!$B$105=1,L!C138,L!E138)</f>
        <v>Сумма внешних займов + депозитов</v>
      </c>
      <c r="D19" s="1055" t="e">
        <f>(Баланс!C25+Баланс!C26+Баланс!C27+Баланс!C31+Баланс!C32)/Баланс!C45</f>
        <v>#DIV/0!</v>
      </c>
      <c r="E19" s="1055" t="e">
        <f>(Баланс!D25+Баланс!D26+Баланс!D27+Баланс!D31+Баланс!D32)/Баланс!D45</f>
        <v>#DIV/0!</v>
      </c>
      <c r="F19" s="1055" t="e">
        <f>(Баланс!E25+Баланс!E26+Баланс!E27+Баланс!E31+Баланс!E32)/Баланс!E45</f>
        <v>#DIV/0!</v>
      </c>
      <c r="G19" s="1055" t="e">
        <f>(Баланс!F25+Баланс!F26+Баланс!F27+Баланс!F31+Баланс!F32)/Баланс!F45</f>
        <v>#DIV/0!</v>
      </c>
      <c r="H19" s="1055" t="e">
        <f>(Баланс!G25+Баланс!G26+Баланс!G27+Баланс!G31+Баланс!G32)/Баланс!G45</f>
        <v>#DIV/0!</v>
      </c>
      <c r="I19" s="1055" t="e">
        <f>(Баланс!H25+Баланс!H26+Баланс!H27+Баланс!H31+Баланс!H32)/Баланс!H45</f>
        <v>#DIV/0!</v>
      </c>
      <c r="J19" s="1052"/>
    </row>
    <row r="20" spans="1:10" x14ac:dyDescent="0.2">
      <c r="A20" s="1054"/>
      <c r="B20" s="257"/>
      <c r="C20" s="16" t="str">
        <f>IF(L!$B$105=1,L!C139,L!E139)</f>
        <v>Капитал</v>
      </c>
      <c r="D20" s="1056"/>
      <c r="E20" s="1056"/>
      <c r="F20" s="1056"/>
      <c r="G20" s="1056"/>
      <c r="H20" s="1056"/>
      <c r="I20" s="1056"/>
      <c r="J20" s="1052"/>
    </row>
    <row r="21" spans="1:10" ht="24" customHeight="1" x14ac:dyDescent="0.2">
      <c r="A21" s="1054" t="str">
        <f>IF(L!$B$105=1,L!B142,L!D142)</f>
        <v>Ликвидность</v>
      </c>
      <c r="B21" s="1064" t="s">
        <v>204</v>
      </c>
      <c r="C21" s="15" t="str">
        <f>IF(L!$B$105=1,L!C142,L!E142)</f>
        <v>Касса и расчетные счета (счета в банках) + Краткосрочные инвестиции/Депозитные счета</v>
      </c>
      <c r="D21" s="1080" t="e">
        <f>(Баланс!C8+Баланс!C9+Баланс!C10)/Баланс!C30</f>
        <v>#DIV/0!</v>
      </c>
      <c r="E21" s="1080" t="e">
        <f>(Баланс!D8+Баланс!D9+Баланс!D10)/Баланс!D30</f>
        <v>#DIV/0!</v>
      </c>
      <c r="F21" s="1080" t="e">
        <f>(Баланс!E8+Баланс!E9+Баланс!E10)/Баланс!E30</f>
        <v>#DIV/0!</v>
      </c>
      <c r="G21" s="1080" t="e">
        <f>(Баланс!F8+Баланс!F9+Баланс!F10)/Баланс!F30</f>
        <v>#DIV/0!</v>
      </c>
      <c r="H21" s="1080" t="e">
        <f>(Баланс!G8+Баланс!G9+Баланс!G10)/Баланс!G30</f>
        <v>#DIV/0!</v>
      </c>
      <c r="I21" s="1080" t="e">
        <f>(Баланс!H8+Баланс!H9+Баланс!H10)/Баланс!H30</f>
        <v>#DIV/0!</v>
      </c>
      <c r="J21" s="1049" t="s">
        <v>552</v>
      </c>
    </row>
    <row r="22" spans="1:10" ht="12.75" customHeight="1" x14ac:dyDescent="0.2">
      <c r="A22" s="1054"/>
      <c r="B22" s="1064"/>
      <c r="C22" s="16" t="str">
        <f>IF(L!$B$105=1,L!C143,L!E143)</f>
        <v>(Депозиты до восстребования+краткосрочные срочные депозиты+краткосрочные займы+проценты к оплате по внешним ресурсам+счета к оплате и другие краткосрочные обязательства)</v>
      </c>
      <c r="D22" s="1080"/>
      <c r="E22" s="1080"/>
      <c r="F22" s="1080"/>
      <c r="G22" s="1080"/>
      <c r="H22" s="1080"/>
      <c r="I22" s="1080"/>
      <c r="J22" s="1049"/>
    </row>
    <row r="23" spans="1:10" x14ac:dyDescent="0.2">
      <c r="A23" s="1054" t="str">
        <f>IF(L!$B$105=1,L!B144,L!D144)</f>
        <v>Адекватность капитала</v>
      </c>
      <c r="B23" s="257"/>
      <c r="C23" s="15" t="str">
        <f>IF(L!$B$105=1,L!C144,L!E144)</f>
        <v>Итого капитал</v>
      </c>
      <c r="D23" s="1097" t="e">
        <f>Баланс!C45/Баланс!C46</f>
        <v>#DIV/0!</v>
      </c>
      <c r="E23" s="1097" t="e">
        <f>Баланс!D45/Баланс!D46</f>
        <v>#DIV/0!</v>
      </c>
      <c r="F23" s="1097" t="e">
        <f>Баланс!E45/Баланс!E46</f>
        <v>#DIV/0!</v>
      </c>
      <c r="G23" s="1097" t="e">
        <f>Баланс!F45/Баланс!F46</f>
        <v>#DIV/0!</v>
      </c>
      <c r="H23" s="1097" t="e">
        <f>Баланс!G45/Баланс!G46</f>
        <v>#DIV/0!</v>
      </c>
      <c r="I23" s="1097" t="e">
        <f>Баланс!H45/Баланс!H46</f>
        <v>#DIV/0!</v>
      </c>
      <c r="J23" s="1101" t="s">
        <v>984</v>
      </c>
    </row>
    <row r="24" spans="1:10" ht="12" thickBot="1" x14ac:dyDescent="0.25">
      <c r="A24" s="1085"/>
      <c r="B24" s="322"/>
      <c r="C24" s="62" t="str">
        <f>IF(L!$B$105=1,L!C145,L!E145)</f>
        <v>Итого активы</v>
      </c>
      <c r="D24" s="1098"/>
      <c r="E24" s="1098"/>
      <c r="F24" s="1098"/>
      <c r="G24" s="1098"/>
      <c r="H24" s="1098"/>
      <c r="I24" s="1098"/>
      <c r="J24" s="1102"/>
    </row>
    <row r="25" spans="1:10" ht="12" thickBot="1" x14ac:dyDescent="0.25">
      <c r="A25" s="1075" t="str">
        <f>IF(L!$B$105=1,L!B146,L!D146)</f>
        <v>Анализ доходности кредитного портфеля</v>
      </c>
      <c r="B25" s="1076"/>
      <c r="C25" s="1076"/>
      <c r="D25" s="326"/>
      <c r="E25" s="326"/>
      <c r="F25" s="326"/>
      <c r="G25" s="326"/>
      <c r="H25" s="326"/>
      <c r="I25" s="326"/>
      <c r="J25" s="68"/>
    </row>
    <row r="26" spans="1:10" ht="22.5" x14ac:dyDescent="0.2">
      <c r="A26" s="1062" t="str">
        <f>IF(L!$B$105=1,L!B147,L!D147)</f>
        <v xml:space="preserve">Доходность кредитного портфеля </v>
      </c>
      <c r="B26" s="1063" t="s">
        <v>442</v>
      </c>
      <c r="C26" s="65" t="str">
        <f>IF(L!$B$105=1,L!C147,L!E147)</f>
        <v>Проценты по займам + Взносы по займам начисленные</v>
      </c>
      <c r="D26" s="1094" t="e">
        <f>(ОПУ!C8+ОПУ!C9)*(12/'Коэф-ты'!D3)/(Баланс!C11/2)</f>
        <v>#VALUE!</v>
      </c>
      <c r="E26" s="1094" t="e">
        <f>(ОПУ!D8+ОПУ!D9)*(12/'Коэф-ты'!E3)/((Баланс!C11+Баланс!D11)/2)</f>
        <v>#VALUE!</v>
      </c>
      <c r="F26" s="1094" t="e">
        <f>(ОПУ!E8+ОПУ!E9)*(12/'Коэф-ты'!F3)/((Баланс!D11+Баланс!E11)/2)</f>
        <v>#VALUE!</v>
      </c>
      <c r="G26" s="1094" t="e">
        <f>(ОПУ!F8+ОПУ!F9)*(12/'Коэф-ты'!G3)/((Баланс!E11+Баланс!F11)/2)</f>
        <v>#VALUE!</v>
      </c>
      <c r="H26" s="1094" t="e">
        <f>(ОПУ!G8+ОПУ!G9)*(12/'Коэф-ты'!H3)/((Баланс!F11+Баланс!G11)/2)</f>
        <v>#VALUE!</v>
      </c>
      <c r="I26" s="1094" t="e">
        <f>(ОПУ!H8+ОПУ!H9)*(12/'Коэф-ты'!I3)/((Баланс!G11+Баланс!H11)/2)</f>
        <v>#DIV/0!</v>
      </c>
      <c r="J26" s="1057"/>
    </row>
    <row r="27" spans="1:10" x14ac:dyDescent="0.2">
      <c r="A27" s="1054"/>
      <c r="B27" s="1064"/>
      <c r="C27" s="15" t="str">
        <f>IF(L!$B$105=1,L!C148,L!E148)</f>
        <v>Средний итог общего кредитного портфеля</v>
      </c>
      <c r="D27" s="1095"/>
      <c r="E27" s="1095"/>
      <c r="F27" s="1095"/>
      <c r="G27" s="1095"/>
      <c r="H27" s="1095"/>
      <c r="I27" s="1095"/>
      <c r="J27" s="1052"/>
    </row>
    <row r="28" spans="1:10" x14ac:dyDescent="0.2">
      <c r="A28" s="1054" t="str">
        <f>IF(L!$B$105=1,L!B149,L!D149)</f>
        <v>Процентные расходы</v>
      </c>
      <c r="B28" s="257"/>
      <c r="C28" s="15" t="str">
        <f>IF(L!$B$105=1,L!C149,L!E149)</f>
        <v>Итого процентные расходы</v>
      </c>
      <c r="D28" s="1093" t="e">
        <f>ОПУ!C17*(12/'Коэф-ты'!D3)/(Баланс!C11/2)</f>
        <v>#VALUE!</v>
      </c>
      <c r="E28" s="1093" t="e">
        <f>ОПУ!D17*(12/'Коэф-ты'!E3)/((Баланс!C11+Баланс!D11)/2)</f>
        <v>#VALUE!</v>
      </c>
      <c r="F28" s="1093" t="e">
        <f>ОПУ!E17*(12/'Коэф-ты'!F3)/((Баланс!D11+Баланс!E11)/2)</f>
        <v>#VALUE!</v>
      </c>
      <c r="G28" s="1093" t="e">
        <f>ОПУ!F17*(12/'Коэф-ты'!G3)/((Баланс!E11+Баланс!F11)/2)</f>
        <v>#VALUE!</v>
      </c>
      <c r="H28" s="1103" t="e">
        <f>ОПУ!G17*(12/'Коэф-ты'!H3)/((Баланс!F11+Баланс!G11)/2)</f>
        <v>#VALUE!</v>
      </c>
      <c r="I28" s="1103" t="e">
        <f>ОПУ!H17*(12/'Коэф-ты'!I3)/((Баланс!G11+Баланс!H11)/2)</f>
        <v>#DIV/0!</v>
      </c>
      <c r="J28" s="1101"/>
    </row>
    <row r="29" spans="1:10" ht="11.25" customHeight="1" x14ac:dyDescent="0.2">
      <c r="A29" s="1054"/>
      <c r="B29" s="1064" t="s">
        <v>553</v>
      </c>
      <c r="C29" s="15" t="str">
        <f>IF(L!$B$105=1,L!C150,L!E150)</f>
        <v>Средний итог общего кредитного портфеля</v>
      </c>
      <c r="D29" s="1093"/>
      <c r="E29" s="1093"/>
      <c r="F29" s="1093"/>
      <c r="G29" s="1093"/>
      <c r="H29" s="1104"/>
      <c r="I29" s="1104"/>
      <c r="J29" s="1105"/>
    </row>
    <row r="30" spans="1:10" x14ac:dyDescent="0.2">
      <c r="A30" s="1054" t="str">
        <f>IF(L!$B$105=1,L!B151,L!D151)</f>
        <v>Операционные расходы</v>
      </c>
      <c r="B30" s="1064"/>
      <c r="C30" s="15" t="str">
        <f>IF(L!$B$105=1,L!C151,L!E151)</f>
        <v>Итого операционные расходы</v>
      </c>
      <c r="D30" s="1093" t="e">
        <f>ОПУ!C26*(12/'Коэф-ты'!D3)/(Баланс!C11/2)</f>
        <v>#VALUE!</v>
      </c>
      <c r="E30" s="1093" t="e">
        <f>ОПУ!D26*(12/'Коэф-ты'!E3)/((Баланс!C11+Баланс!D11)/2)</f>
        <v>#VALUE!</v>
      </c>
      <c r="F30" s="1093" t="e">
        <f>ОПУ!E26*(12/'Коэф-ты'!F3)/((Баланс!D11+Баланс!E11)/2)</f>
        <v>#VALUE!</v>
      </c>
      <c r="G30" s="1093" t="e">
        <f>ОПУ!F26*(12/'Коэф-ты'!G3)/((Баланс!E11+Баланс!F11)/2)</f>
        <v>#VALUE!</v>
      </c>
      <c r="H30" s="1093" t="e">
        <f>ОПУ!G26*(12/'Коэф-ты'!H3)/((Баланс!F11+Баланс!G11)/2)</f>
        <v>#VALUE!</v>
      </c>
      <c r="I30" s="1093" t="e">
        <f>ОПУ!H26*(12/'Коэф-ты'!I3)/((Баланс!G11+Баланс!H11)/2)</f>
        <v>#DIV/0!</v>
      </c>
      <c r="J30" s="1050"/>
    </row>
    <row r="31" spans="1:10" x14ac:dyDescent="0.2">
      <c r="A31" s="1054"/>
      <c r="B31" s="1064" t="s">
        <v>554</v>
      </c>
      <c r="C31" s="15" t="str">
        <f>IF(L!$B$105=1,L!C152,L!E152)</f>
        <v>Средний итог общего кредитного портфеля</v>
      </c>
      <c r="D31" s="1093"/>
      <c r="E31" s="1093"/>
      <c r="F31" s="1093"/>
      <c r="G31" s="1093"/>
      <c r="H31" s="1093"/>
      <c r="I31" s="1093"/>
      <c r="J31" s="1051"/>
    </row>
    <row r="32" spans="1:10" x14ac:dyDescent="0.2">
      <c r="A32" s="1054" t="str">
        <f>IF(L!$B$105=1,L!B153,L!D153)</f>
        <v>Расходы по созданию РППУ</v>
      </c>
      <c r="B32" s="1064"/>
      <c r="C32" s="15" t="str">
        <f>IF(L!$B$105=1,L!C153,L!E153)</f>
        <v>Расходы по РППУ</v>
      </c>
      <c r="D32" s="1093" t="e">
        <f>ОПУ!C19*(12/'Коэф-ты'!D3)/(Баланс!C11/2)</f>
        <v>#VALUE!</v>
      </c>
      <c r="E32" s="1093" t="e">
        <f>ОПУ!D19*(12/'Коэф-ты'!E3)/((Баланс!C11+Баланс!D11)/2)</f>
        <v>#VALUE!</v>
      </c>
      <c r="F32" s="1093" t="e">
        <f>ОПУ!E19*(12/'Коэф-ты'!F3)/((Баланс!D11+Баланс!E11)/2)</f>
        <v>#VALUE!</v>
      </c>
      <c r="G32" s="1093" t="e">
        <f>ОПУ!F19*(12/'Коэф-ты'!G3)/((Баланс!E11+Баланс!F11)/2)</f>
        <v>#VALUE!</v>
      </c>
      <c r="H32" s="1093" t="e">
        <f>ОПУ!G19*(12/'Коэф-ты'!H3)/((Баланс!F11+Баланс!G11)/2)</f>
        <v>#VALUE!</v>
      </c>
      <c r="I32" s="1093" t="e">
        <f>ОПУ!H19*(12/'Коэф-ты'!I3)/((Баланс!G11+Баланс!H11)/2)</f>
        <v>#DIV/0!</v>
      </c>
      <c r="J32" s="1050"/>
    </row>
    <row r="33" spans="1:10" ht="11.25" customHeight="1" x14ac:dyDescent="0.2">
      <c r="A33" s="1054"/>
      <c r="B33" s="1064" t="s">
        <v>555</v>
      </c>
      <c r="C33" s="15" t="str">
        <f>IF(L!$B$105=1,L!C154,L!E154)</f>
        <v>Средний итог общего кредитного портфеля</v>
      </c>
      <c r="D33" s="1093"/>
      <c r="E33" s="1093"/>
      <c r="F33" s="1093"/>
      <c r="G33" s="1093"/>
      <c r="H33" s="1093"/>
      <c r="I33" s="1093"/>
      <c r="J33" s="1051"/>
    </row>
    <row r="34" spans="1:10" ht="15" customHeight="1" thickBot="1" x14ac:dyDescent="0.25">
      <c r="A34" s="321" t="str">
        <f>IF(L!$B$105=1,L!B155,L!D155)</f>
        <v>Чистая операционная маржа</v>
      </c>
      <c r="B34" s="1077"/>
      <c r="C34" s="62"/>
      <c r="D34" s="362" t="e">
        <f t="shared" ref="D34:I34" si="1">D26-D28-D30-D32</f>
        <v>#VALUE!</v>
      </c>
      <c r="E34" s="362" t="e">
        <f t="shared" si="1"/>
        <v>#VALUE!</v>
      </c>
      <c r="F34" s="362" t="e">
        <f t="shared" si="1"/>
        <v>#VALUE!</v>
      </c>
      <c r="G34" s="362" t="e">
        <f t="shared" si="1"/>
        <v>#VALUE!</v>
      </c>
      <c r="H34" s="362" t="e">
        <f t="shared" si="1"/>
        <v>#VALUE!</v>
      </c>
      <c r="I34" s="362" t="e">
        <f t="shared" si="1"/>
        <v>#DIV/0!</v>
      </c>
      <c r="J34" s="363"/>
    </row>
    <row r="35" spans="1:10" ht="12" thickBot="1" x14ac:dyDescent="0.25">
      <c r="A35" s="1073" t="str">
        <f>IF(L!$B$105=1,L!B156,L!D156)</f>
        <v>Качество кредитного портфеля</v>
      </c>
      <c r="B35" s="1074"/>
      <c r="C35" s="1074"/>
      <c r="D35" s="327"/>
      <c r="E35" s="327"/>
      <c r="F35" s="327"/>
      <c r="G35" s="327"/>
      <c r="H35" s="327"/>
      <c r="I35" s="327"/>
      <c r="J35" s="67"/>
    </row>
    <row r="36" spans="1:10" ht="22.5" x14ac:dyDescent="0.2">
      <c r="A36" s="1062" t="str">
        <f>IF(L!$B$105=1,L!B157,L!D157)</f>
        <v>Портфель в риске (PAR) &gt; 30 дней + Реструктурированные кредиты</v>
      </c>
      <c r="B36" s="365"/>
      <c r="C36" s="65" t="str">
        <f>IF(L!$B$105=1,L!C157,L!E157)</f>
        <v>PAR &gt; 30 дней+сумма реструктурированных кредитов</v>
      </c>
      <c r="D36" s="1081" t="e">
        <f t="shared" ref="D36:I36" si="2">D38+D39</f>
        <v>#DIV/0!</v>
      </c>
      <c r="E36" s="1081" t="e">
        <f t="shared" si="2"/>
        <v>#DIV/0!</v>
      </c>
      <c r="F36" s="1081" t="e">
        <f t="shared" si="2"/>
        <v>#DIV/0!</v>
      </c>
      <c r="G36" s="1081" t="e">
        <f t="shared" si="2"/>
        <v>#DIV/0!</v>
      </c>
      <c r="H36" s="1081" t="e">
        <f t="shared" si="2"/>
        <v>#DIV/0!</v>
      </c>
      <c r="I36" s="1081" t="e">
        <f t="shared" si="2"/>
        <v>#DIV/0!</v>
      </c>
      <c r="J36" s="1099" t="s">
        <v>1031</v>
      </c>
    </row>
    <row r="37" spans="1:10" x14ac:dyDescent="0.2">
      <c r="A37" s="1054"/>
      <c r="B37" s="364"/>
      <c r="C37" s="15" t="str">
        <f>IF(L!$B$105=1,L!C158,L!E158)</f>
        <v>Общий кредитный портфель</v>
      </c>
      <c r="D37" s="1082"/>
      <c r="E37" s="1082"/>
      <c r="F37" s="1082"/>
      <c r="G37" s="1082"/>
      <c r="H37" s="1082"/>
      <c r="I37" s="1082"/>
      <c r="J37" s="1100"/>
    </row>
    <row r="38" spans="1:10" x14ac:dyDescent="0.2">
      <c r="A38" s="66" t="str">
        <f>IF(L!$B$105=1,L!B159,L!D159)</f>
        <v>Портфель в риске (PAR) &gt; 30 дней</v>
      </c>
      <c r="B38" s="1064" t="s">
        <v>208</v>
      </c>
      <c r="C38" s="15" t="str">
        <f>IF(L!$B$105=1,L!C159,L!E159)</f>
        <v>PAR &gt; 30 дней / Общий кредитный портфель</v>
      </c>
      <c r="D38" s="372" t="e">
        <f t="shared" ref="D38:I38" si="3">D41+D42+D43+D44</f>
        <v>#DIV/0!</v>
      </c>
      <c r="E38" s="372" t="e">
        <f t="shared" si="3"/>
        <v>#DIV/0!</v>
      </c>
      <c r="F38" s="372" t="e">
        <f t="shared" si="3"/>
        <v>#DIV/0!</v>
      </c>
      <c r="G38" s="372" t="e">
        <f t="shared" si="3"/>
        <v>#DIV/0!</v>
      </c>
      <c r="H38" s="372" t="e">
        <f t="shared" si="3"/>
        <v>#DIV/0!</v>
      </c>
      <c r="I38" s="372" t="e">
        <f t="shared" si="3"/>
        <v>#DIV/0!</v>
      </c>
      <c r="J38" s="323" t="s">
        <v>73</v>
      </c>
    </row>
    <row r="39" spans="1:10" ht="22.5" x14ac:dyDescent="0.2">
      <c r="A39" s="66" t="str">
        <f>IF(L!$B$105=1,L!B160,L!D160)</f>
        <v>Реструктурированные кредиты</v>
      </c>
      <c r="B39" s="1064"/>
      <c r="C39" s="16" t="str">
        <f>IF(L!$B$105=1,L!C160,L!E160)</f>
        <v>Реструктурированные кредиты / Общий кредитный портфель</v>
      </c>
      <c r="D39" s="372" t="e">
        <f>Портфель!B98/Портфель!B99</f>
        <v>#DIV/0!</v>
      </c>
      <c r="E39" s="372" t="e">
        <f>Портфель!D98/Портфель!D99</f>
        <v>#DIV/0!</v>
      </c>
      <c r="F39" s="372" t="e">
        <f>Портфель!F98/Портфель!F99</f>
        <v>#DIV/0!</v>
      </c>
      <c r="G39" s="372" t="e">
        <f>Портфель!H98/Портфель!H99</f>
        <v>#DIV/0!</v>
      </c>
      <c r="H39" s="372" t="e">
        <f>Портфель!J98/Портфель!J99</f>
        <v>#DIV/0!</v>
      </c>
      <c r="I39" s="372" t="e">
        <f>Портфель!L98/Портфель!L99</f>
        <v>#DIV/0!</v>
      </c>
      <c r="J39" s="323" t="s">
        <v>1032</v>
      </c>
    </row>
    <row r="40" spans="1:10" x14ac:dyDescent="0.2">
      <c r="A40" s="66" t="str">
        <f>IF(L!$B$105=1,L!B161,L!D161)</f>
        <v>PAR 1 - 30 дней</v>
      </c>
      <c r="B40" s="17"/>
      <c r="C40" s="16" t="str">
        <f>IF(L!$B$105=1,L!C161,L!E161)</f>
        <v>Кредиты просроченные от 1 - 30 дней</v>
      </c>
      <c r="D40" s="324" t="e">
        <f>Портфель!B93/Портфель!$B$99</f>
        <v>#DIV/0!</v>
      </c>
      <c r="E40" s="324" t="e">
        <f>Портфель!D93/Портфель!$D$99</f>
        <v>#DIV/0!</v>
      </c>
      <c r="F40" s="324" t="e">
        <f>Портфель!F93/Портфель!$F$99</f>
        <v>#DIV/0!</v>
      </c>
      <c r="G40" s="324" t="e">
        <f>Портфель!H93/Портфель!$H$99</f>
        <v>#DIV/0!</v>
      </c>
      <c r="H40" s="361" t="e">
        <f>Портфель!J93/Портфель!$J$99</f>
        <v>#DIV/0!</v>
      </c>
      <c r="I40" s="361" t="e">
        <f>Портфель!L93/Портфель!$L$99</f>
        <v>#DIV/0!</v>
      </c>
      <c r="J40" s="61"/>
    </row>
    <row r="41" spans="1:10" x14ac:dyDescent="0.2">
      <c r="A41" s="66" t="str">
        <f>IF(L!$B$105=1,L!B162,L!D162)</f>
        <v>PAR 31 - 90 дней</v>
      </c>
      <c r="B41" s="17"/>
      <c r="C41" s="16" t="str">
        <f>IF(L!$B$105=1,L!C162,L!E162)</f>
        <v>Кредиты просроченные от 31 - 90 дней</v>
      </c>
      <c r="D41" s="324" t="e">
        <f>Портфель!B94/Портфель!$B$99</f>
        <v>#DIV/0!</v>
      </c>
      <c r="E41" s="324" t="e">
        <f>Портфель!D94/Портфель!$D$99</f>
        <v>#DIV/0!</v>
      </c>
      <c r="F41" s="324" t="e">
        <f>Портфель!F94/Портфель!$F$99</f>
        <v>#DIV/0!</v>
      </c>
      <c r="G41" s="324" t="e">
        <f>Портфель!H94/Портфель!$H$99</f>
        <v>#DIV/0!</v>
      </c>
      <c r="H41" s="361" t="e">
        <f>Портфель!J94/Портфель!$J$99</f>
        <v>#DIV/0!</v>
      </c>
      <c r="I41" s="361" t="e">
        <f>Портфель!L94/Портфель!$L$99</f>
        <v>#DIV/0!</v>
      </c>
      <c r="J41" s="61"/>
    </row>
    <row r="42" spans="1:10" x14ac:dyDescent="0.2">
      <c r="A42" s="66" t="str">
        <f>IF(L!$B$105=1,L!B163,L!D163)</f>
        <v>PAR  91 - 180 дней</v>
      </c>
      <c r="B42" s="17"/>
      <c r="C42" s="16" t="str">
        <f>IF(L!$B$105=1,L!C163,L!E163)</f>
        <v>Кредиты просроченные от  91 - 180 дней</v>
      </c>
      <c r="D42" s="324" t="e">
        <f>Портфель!B95/Портфель!$B$99</f>
        <v>#DIV/0!</v>
      </c>
      <c r="E42" s="324" t="e">
        <f>Портфель!D95/Портфель!$D$99</f>
        <v>#DIV/0!</v>
      </c>
      <c r="F42" s="324" t="e">
        <f>Портфель!F95/Портфель!$F$99</f>
        <v>#DIV/0!</v>
      </c>
      <c r="G42" s="324" t="e">
        <f>Портфель!H95/Портфель!$H$99</f>
        <v>#DIV/0!</v>
      </c>
      <c r="H42" s="361" t="e">
        <f>Портфель!J95/Портфель!$J$99</f>
        <v>#DIV/0!</v>
      </c>
      <c r="I42" s="361" t="e">
        <f>Портфель!L95/Портфель!$L$99</f>
        <v>#DIV/0!</v>
      </c>
      <c r="J42" s="61"/>
    </row>
    <row r="43" spans="1:10" x14ac:dyDescent="0.2">
      <c r="A43" s="66" t="str">
        <f>IF(L!$B$105=1,L!B164,L!D164)</f>
        <v>PAR 181 - 360 дней</v>
      </c>
      <c r="B43" s="17"/>
      <c r="C43" s="16" t="str">
        <f>IF(L!$B$105=1,L!C164,L!E164)</f>
        <v>Кредиты просроченные от 181 - 360 дней</v>
      </c>
      <c r="D43" s="324" t="e">
        <f>Портфель!B96/Портфель!$B$99</f>
        <v>#DIV/0!</v>
      </c>
      <c r="E43" s="324" t="e">
        <f>Портфель!D96/Портфель!$D$99</f>
        <v>#DIV/0!</v>
      </c>
      <c r="F43" s="324" t="e">
        <f>Портфель!F96/Портфель!$F$99</f>
        <v>#DIV/0!</v>
      </c>
      <c r="G43" s="324" t="e">
        <f>Портфель!H96/Портфель!$H$99</f>
        <v>#DIV/0!</v>
      </c>
      <c r="H43" s="361" t="e">
        <f>Портфель!J96/Портфель!$J$99</f>
        <v>#DIV/0!</v>
      </c>
      <c r="I43" s="361" t="e">
        <f>Портфель!L96/Портфель!$L$99</f>
        <v>#DIV/0!</v>
      </c>
      <c r="J43" s="61"/>
    </row>
    <row r="44" spans="1:10" x14ac:dyDescent="0.2">
      <c r="A44" s="66" t="str">
        <f>IF(L!$B$105=1,L!B165,L!D165)</f>
        <v>PAR &gt; 360 дней</v>
      </c>
      <c r="B44" s="17"/>
      <c r="C44" s="16" t="str">
        <f>IF(L!$B$105=1,L!C165,L!E165)</f>
        <v>Кредиты просроченные свыше 360 дней</v>
      </c>
      <c r="D44" s="324" t="e">
        <f>Портфель!B97/Портфель!$B$99</f>
        <v>#DIV/0!</v>
      </c>
      <c r="E44" s="324" t="e">
        <f>Портфель!D97/Портфель!$D$99</f>
        <v>#DIV/0!</v>
      </c>
      <c r="F44" s="324" t="e">
        <f>Портфель!F97/Портфель!$F$99</f>
        <v>#DIV/0!</v>
      </c>
      <c r="G44" s="324" t="e">
        <f>Портфель!H97/Портфель!$H$99</f>
        <v>#DIV/0!</v>
      </c>
      <c r="H44" s="361" t="e">
        <f>Портфель!J97/Портфель!$J$99</f>
        <v>#DIV/0!</v>
      </c>
      <c r="I44" s="361" t="e">
        <f>Портфель!L97/Портфель!$L$99</f>
        <v>#DIV/0!</v>
      </c>
      <c r="J44" s="61"/>
    </row>
    <row r="45" spans="1:10" x14ac:dyDescent="0.2">
      <c r="A45" s="1054" t="str">
        <f>IF(L!$B$105=1,L!B166,L!D166)</f>
        <v>Коэффициент списаний кредитов</v>
      </c>
      <c r="B45" s="1064" t="s">
        <v>211</v>
      </c>
      <c r="C45" s="15" t="str">
        <f>IF(L!$B$105=1,L!C166,L!E166)</f>
        <v>Сумма списанных кредитов</v>
      </c>
      <c r="D45" s="1093" t="e">
        <f>Портфель!B101/(Портфель!B99/2)</f>
        <v>#DIV/0!</v>
      </c>
      <c r="E45" s="1093" t="e">
        <f>Портфель!D101/((Портфель!B99+Портфель!D99)/2)</f>
        <v>#DIV/0!</v>
      </c>
      <c r="F45" s="1093" t="e">
        <f>Портфель!F101/((Портфель!D99+Портфель!F99)/2)</f>
        <v>#DIV/0!</v>
      </c>
      <c r="G45" s="1093" t="e">
        <f>Портфель!H101/((Портфель!F99+Портфель!H99)/2)</f>
        <v>#DIV/0!</v>
      </c>
      <c r="H45" s="1093" t="e">
        <f>Портфель!J101/((Портфель!H99+Портфель!J99)/2)</f>
        <v>#DIV/0!</v>
      </c>
      <c r="I45" s="1093" t="e">
        <f>Портфель!L101/((Портфель!J99+Портфель!L99)/2)</f>
        <v>#DIV/0!</v>
      </c>
      <c r="J45" s="1052" t="s">
        <v>1032</v>
      </c>
    </row>
    <row r="46" spans="1:10" x14ac:dyDescent="0.2">
      <c r="A46" s="1054"/>
      <c r="B46" s="1064"/>
      <c r="C46" s="16" t="str">
        <f>IF(L!$B$105=1,L!C167,L!E167)</f>
        <v>Средний итог общего кредитного портфеля</v>
      </c>
      <c r="D46" s="1093"/>
      <c r="E46" s="1093"/>
      <c r="F46" s="1093"/>
      <c r="G46" s="1093"/>
      <c r="H46" s="1093"/>
      <c r="I46" s="1093"/>
      <c r="J46" s="1052"/>
    </row>
    <row r="47" spans="1:10" x14ac:dyDescent="0.2">
      <c r="A47" s="1054" t="str">
        <f>IF(L!$B$105=1,L!B168,L!D168)</f>
        <v>Коэффициент покрытия риска</v>
      </c>
      <c r="B47" s="1064" t="s">
        <v>239</v>
      </c>
      <c r="C47" s="15" t="str">
        <f>IF(L!$B$105=1,L!C168,L!E168)</f>
        <v>Резерв под убытки по займам</v>
      </c>
      <c r="D47" s="1067" t="e">
        <f>Баланс!C12/SUM(Портфель!B94:B98)</f>
        <v>#DIV/0!</v>
      </c>
      <c r="E47" s="1067" t="e">
        <f>Баланс!D12/SUM(Портфель!D94:D98)</f>
        <v>#DIV/0!</v>
      </c>
      <c r="F47" s="1067" t="e">
        <f>Баланс!E12/SUM(Портфель!F94:F98)</f>
        <v>#DIV/0!</v>
      </c>
      <c r="G47" s="1067" t="e">
        <f>Баланс!F12/SUM(Портфель!H94:H98)</f>
        <v>#DIV/0!</v>
      </c>
      <c r="H47" s="1067" t="e">
        <f>Баланс!G12/SUM(Портфель!J94:J98)</f>
        <v>#DIV/0!</v>
      </c>
      <c r="I47" s="1067" t="e">
        <f>Баланс!H12/SUM(Портфель!L94:L98)</f>
        <v>#DIV/0!</v>
      </c>
      <c r="J47" s="1066" t="s">
        <v>461</v>
      </c>
    </row>
    <row r="48" spans="1:10" ht="23.25" thickBot="1" x14ac:dyDescent="0.25">
      <c r="A48" s="1085"/>
      <c r="B48" s="1077"/>
      <c r="C48" s="62" t="str">
        <f>IF(L!$B$105=1,L!C169,L!E169)</f>
        <v>PAR &gt; 30 дней+сумма реструктурированных кредитов</v>
      </c>
      <c r="D48" s="1068"/>
      <c r="E48" s="1068"/>
      <c r="F48" s="1068"/>
      <c r="G48" s="1068"/>
      <c r="H48" s="1068"/>
      <c r="I48" s="1068"/>
      <c r="J48" s="1053"/>
    </row>
    <row r="49" spans="1:10" ht="12" thickBot="1" x14ac:dyDescent="0.25">
      <c r="A49" s="1075" t="str">
        <f>IF(L!$B$105=1,L!B170,L!D170)</f>
        <v>Эффективность и производительность</v>
      </c>
      <c r="B49" s="1076"/>
      <c r="C49" s="1076"/>
      <c r="D49" s="326"/>
      <c r="E49" s="326"/>
      <c r="F49" s="326"/>
      <c r="G49" s="326"/>
      <c r="H49" s="326"/>
      <c r="I49" s="326"/>
      <c r="J49" s="68"/>
    </row>
    <row r="50" spans="1:10" ht="23.25" customHeight="1" x14ac:dyDescent="0.2">
      <c r="A50" s="1062" t="str">
        <f>IF(L!$B$105=1,L!B171,L!D171)</f>
        <v>Операционная эффективность</v>
      </c>
      <c r="B50" s="1063" t="s">
        <v>244</v>
      </c>
      <c r="C50" s="65" t="str">
        <f>IF(L!$B$105=1,L!C171,L!E171)</f>
        <v>Сумма всех расходов (за искл.налога на прибыль)</v>
      </c>
      <c r="D50" s="1065" t="e">
        <f>(ОПУ!C17+ОПУ!C19+ОПУ!C26+ОПУ!C31+D62)*(12/'Коэф-ты'!D3)/(Баланс!C11/2)</f>
        <v>#VALUE!</v>
      </c>
      <c r="E50" s="1065" t="e">
        <f>(ОПУ!D17+ОПУ!D19+ОПУ!D26+ОПУ!D31+'Коэф-ты'!E62)*(12/'Коэф-ты'!E3)/((Баланс!C11+Баланс!D11)/2)</f>
        <v>#VALUE!</v>
      </c>
      <c r="F50" s="1065" t="e">
        <f>(ОПУ!E17+ОПУ!E19+ОПУ!E26+ОПУ!E31+'Коэф-ты'!F62)*(12/'Коэф-ты'!F3)/((Баланс!D11+Баланс!E11)/2)</f>
        <v>#VALUE!</v>
      </c>
      <c r="G50" s="1065" t="e">
        <f>(ОПУ!F17+ОПУ!F19+ОПУ!F26+ОПУ!F31+'Коэф-ты'!G62)*(12/'Коэф-ты'!G3)/((Баланс!E11+Баланс!F11)/2)</f>
        <v>#VALUE!</v>
      </c>
      <c r="H50" s="1065" t="e">
        <f>(ОПУ!G17+ОПУ!G19+ОПУ!G26+ОПУ!G31+'Коэф-ты'!H62)*(12/'Коэф-ты'!H3)/((Баланс!F11+Баланс!G11)/2)</f>
        <v>#VALUE!</v>
      </c>
      <c r="I50" s="1065" t="e">
        <f>(ОПУ!H17+ОПУ!H19+ОПУ!H26+ОПУ!H31+'Коэф-ты'!I62)*(12/'Коэф-ты'!I3)/((Баланс!G11+Баланс!H11)/2)</f>
        <v>#DIV/0!</v>
      </c>
      <c r="J50" s="1057"/>
    </row>
    <row r="51" spans="1:10" x14ac:dyDescent="0.2">
      <c r="A51" s="1054"/>
      <c r="B51" s="1064"/>
      <c r="C51" s="16" t="str">
        <f>IF(L!$B$105=1,L!C172,L!E172)</f>
        <v>Средний итог общего кредитного портфеля</v>
      </c>
      <c r="D51" s="1058"/>
      <c r="E51" s="1058"/>
      <c r="F51" s="1058"/>
      <c r="G51" s="1058"/>
      <c r="H51" s="1058"/>
      <c r="I51" s="1058"/>
      <c r="J51" s="1052"/>
    </row>
    <row r="52" spans="1:10" ht="27" customHeight="1" x14ac:dyDescent="0.2">
      <c r="A52" s="374" t="str">
        <f>IF(L!$B$105=1,L!B177,L!D177)</f>
        <v>Кредитные специалисты/Общее число сотрудников</v>
      </c>
      <c r="B52" s="373"/>
      <c r="C52" s="16" t="str">
        <f>IF(L!$B$105=1,L!C177,L!E177)</f>
        <v>Кредитные специалисты/Общее число сотрудников</v>
      </c>
      <c r="D52" s="325" t="e">
        <f>Портфель!B116/Портфель!B115</f>
        <v>#DIV/0!</v>
      </c>
      <c r="E52" s="325" t="e">
        <f>Портфель!D116/Портфель!D115</f>
        <v>#DIV/0!</v>
      </c>
      <c r="F52" s="325" t="e">
        <f>Портфель!F116/Портфель!F115</f>
        <v>#DIV/0!</v>
      </c>
      <c r="G52" s="325" t="e">
        <f>Портфель!H116/Портфель!H115</f>
        <v>#DIV/0!</v>
      </c>
      <c r="H52" s="325" t="e">
        <f>Портфель!J116/Портфель!J115</f>
        <v>#DIV/0!</v>
      </c>
      <c r="I52" s="325" t="e">
        <f>Портфель!L116/Портфель!L115</f>
        <v>#DIV/0!</v>
      </c>
      <c r="J52" s="61"/>
    </row>
    <row r="53" spans="1:10" x14ac:dyDescent="0.2">
      <c r="A53" s="1054" t="str">
        <f>IF(L!$B$105=1,L!B178,L!D178)</f>
        <v>Кол-во заемщиков на одного кредитного специалиста</v>
      </c>
      <c r="B53" s="1069" t="s">
        <v>248</v>
      </c>
      <c r="C53" s="15" t="str">
        <f>IF(L!$B$105=1,L!C178,L!E178)</f>
        <v>Кол-во заемщиков</v>
      </c>
      <c r="D53" s="1070" t="e">
        <f>Портфель!B114/Портфель!B116</f>
        <v>#DIV/0!</v>
      </c>
      <c r="E53" s="1070" t="e">
        <f>Портфель!D114/Портфель!D116</f>
        <v>#DIV/0!</v>
      </c>
      <c r="F53" s="1070" t="e">
        <f>Портфель!F114/Портфель!F116</f>
        <v>#DIV/0!</v>
      </c>
      <c r="G53" s="1070" t="e">
        <f>Портфель!H114/Портфель!H116</f>
        <v>#DIV/0!</v>
      </c>
      <c r="H53" s="1070" t="e">
        <f>Портфель!J114/Портфель!J116</f>
        <v>#DIV/0!</v>
      </c>
      <c r="I53" s="1070" t="e">
        <f>Портфель!L114/Портфель!L116</f>
        <v>#DIV/0!</v>
      </c>
      <c r="J53" s="1052" t="s">
        <v>477</v>
      </c>
    </row>
    <row r="54" spans="1:10" x14ac:dyDescent="0.2">
      <c r="A54" s="1054"/>
      <c r="B54" s="1069"/>
      <c r="C54" s="16" t="str">
        <f>IF(L!$B$105=1,L!C179,L!E179)</f>
        <v>Кол-во кредитных специалистов</v>
      </c>
      <c r="D54" s="1070"/>
      <c r="E54" s="1070"/>
      <c r="F54" s="1070"/>
      <c r="G54" s="1070"/>
      <c r="H54" s="1070"/>
      <c r="I54" s="1070"/>
      <c r="J54" s="1052"/>
    </row>
    <row r="55" spans="1:10" x14ac:dyDescent="0.2">
      <c r="A55" s="1054" t="str">
        <f>IF(L!$B$105=1,L!B180,L!D180)</f>
        <v>Кол-во активных клиентов на одного члена персонала</v>
      </c>
      <c r="B55" s="1069" t="s">
        <v>252</v>
      </c>
      <c r="C55" s="15" t="str">
        <f>IF(L!$B$105=1,L!C180,L!E180)</f>
        <v>Кол-во активных клиентов</v>
      </c>
      <c r="D55" s="1089" t="e">
        <f>Портфель!B114/Портфель!B115</f>
        <v>#DIV/0!</v>
      </c>
      <c r="E55" s="1090" t="e">
        <f>Портфель!D114/Портфель!D115</f>
        <v>#DIV/0!</v>
      </c>
      <c r="F55" s="1070" t="e">
        <f>Портфель!F114/Портфель!F115</f>
        <v>#DIV/0!</v>
      </c>
      <c r="G55" s="1070" t="e">
        <f>Портфель!H114/Портфель!H115</f>
        <v>#DIV/0!</v>
      </c>
      <c r="H55" s="1070" t="e">
        <f>Портфель!J114/Портфель!J115</f>
        <v>#DIV/0!</v>
      </c>
      <c r="I55" s="1070" t="e">
        <f>Портфель!L114/Портфель!L115</f>
        <v>#DIV/0!</v>
      </c>
      <c r="J55" s="1052" t="s">
        <v>478</v>
      </c>
    </row>
    <row r="56" spans="1:10" x14ac:dyDescent="0.2">
      <c r="A56" s="1054"/>
      <c r="B56" s="1069"/>
      <c r="C56" s="16" t="str">
        <f>IF(L!$B$105=1,L!C181,L!E181)</f>
        <v>Общее кол-во персонала</v>
      </c>
      <c r="D56" s="1089"/>
      <c r="E56" s="1090"/>
      <c r="F56" s="1070"/>
      <c r="G56" s="1070"/>
      <c r="H56" s="1070"/>
      <c r="I56" s="1070"/>
      <c r="J56" s="1052"/>
    </row>
    <row r="57" spans="1:10" x14ac:dyDescent="0.2">
      <c r="A57" s="1054" t="str">
        <f>IF(L!$B$105=1,L!B183,L!D183)</f>
        <v>Средний остаток действующего кредита</v>
      </c>
      <c r="B57" s="1064" t="s">
        <v>256</v>
      </c>
      <c r="C57" s="15" t="str">
        <f>IF(L!$B$105=1,L!C183,L!E183)</f>
        <v>Общий кредитный портфель</v>
      </c>
      <c r="D57" s="1070" t="e">
        <f>Портфель!B99/Портфель!C99</f>
        <v>#DIV/0!</v>
      </c>
      <c r="E57" s="1070" t="e">
        <f>Портфель!D99/Портфель!E99</f>
        <v>#DIV/0!</v>
      </c>
      <c r="F57" s="1070" t="e">
        <f>Портфель!F99/Портфель!G99</f>
        <v>#DIV/0!</v>
      </c>
      <c r="G57" s="1070" t="e">
        <f>Портфель!H99/Портфель!I99</f>
        <v>#DIV/0!</v>
      </c>
      <c r="H57" s="1070" t="e">
        <f>Портфель!J99/Портфель!K99</f>
        <v>#DIV/0!</v>
      </c>
      <c r="I57" s="1070" t="e">
        <f>Портфель!L99/Портфель!M99</f>
        <v>#DIV/0!</v>
      </c>
      <c r="J57" s="1088"/>
    </row>
    <row r="58" spans="1:10" x14ac:dyDescent="0.2">
      <c r="A58" s="1054"/>
      <c r="B58" s="1064"/>
      <c r="C58" s="16" t="str">
        <f>IF(L!$B$105=1,L!C184,L!E184)</f>
        <v>Кол-во активных кредитов</v>
      </c>
      <c r="D58" s="1070"/>
      <c r="E58" s="1070"/>
      <c r="F58" s="1070"/>
      <c r="G58" s="1070"/>
      <c r="H58" s="1070"/>
      <c r="I58" s="1070"/>
      <c r="J58" s="1088"/>
    </row>
    <row r="59" spans="1:10" x14ac:dyDescent="0.2">
      <c r="A59" s="1054" t="str">
        <f>IF(L!$B$105=1,L!B185,L!D185)</f>
        <v>Средняя сумма выданного кредита</v>
      </c>
      <c r="B59" s="1064" t="s">
        <v>259</v>
      </c>
      <c r="C59" s="15" t="str">
        <f>IF(L!$B$105=1,L!C185,L!E185)</f>
        <v>Сумма выданных кредитов</v>
      </c>
      <c r="D59" s="1078" t="e">
        <f>Портфель!B107/Портфель!C107</f>
        <v>#DIV/0!</v>
      </c>
      <c r="E59" s="1086" t="e">
        <f>Портфель!D107/Портфель!E107</f>
        <v>#DIV/0!</v>
      </c>
      <c r="F59" s="1086" t="e">
        <f>Портфель!F107/Портфель!G107</f>
        <v>#DIV/0!</v>
      </c>
      <c r="G59" s="1086" t="e">
        <f>Портфель!H107/Портфель!I107</f>
        <v>#DIV/0!</v>
      </c>
      <c r="H59" s="1086" t="e">
        <f>Портфель!J107/Портфель!K107</f>
        <v>#DIV/0!</v>
      </c>
      <c r="I59" s="1086" t="e">
        <f>Портфель!L107/Портфель!M107</f>
        <v>#DIV/0!</v>
      </c>
      <c r="J59" s="1091"/>
    </row>
    <row r="60" spans="1:10" ht="13.5" customHeight="1" thickBot="1" x14ac:dyDescent="0.25">
      <c r="A60" s="1085"/>
      <c r="B60" s="1077"/>
      <c r="C60" s="62" t="str">
        <f>IF(L!$B$105=1,L!C186,L!E186)</f>
        <v>Кол-во выданных кредитов</v>
      </c>
      <c r="D60" s="1079"/>
      <c r="E60" s="1087"/>
      <c r="F60" s="1087"/>
      <c r="G60" s="1087"/>
      <c r="H60" s="1087"/>
      <c r="I60" s="1087"/>
      <c r="J60" s="1092"/>
    </row>
    <row r="61" spans="1:10" x14ac:dyDescent="0.2">
      <c r="A61" s="6"/>
      <c r="B61" s="6"/>
      <c r="C61" s="6"/>
    </row>
    <row r="62" spans="1:10" x14ac:dyDescent="0.2">
      <c r="A62" s="6"/>
      <c r="B62" s="6"/>
      <c r="C62" s="6"/>
      <c r="D62" s="454">
        <f>IF(ОПУ!C29&lt;0,-ОПУ!C29,0)</f>
        <v>0</v>
      </c>
      <c r="E62" s="454">
        <f>IF(ОПУ!D29&lt;0,-ОПУ!D29,0)</f>
        <v>0</v>
      </c>
      <c r="F62" s="454">
        <f>IF(ОПУ!E29&lt;0,-ОПУ!E29,0)</f>
        <v>0</v>
      </c>
      <c r="G62" s="454">
        <f>IF(ОПУ!F29&lt;0,-ОПУ!F29,0)</f>
        <v>0</v>
      </c>
      <c r="H62" s="454">
        <f>IF(ОПУ!G29&lt;0,-ОПУ!G29,0)</f>
        <v>0</v>
      </c>
      <c r="I62" s="454">
        <f>IF(ОПУ!H29&lt;0,-ОПУ!H29,0)</f>
        <v>0</v>
      </c>
    </row>
    <row r="63" spans="1:10" x14ac:dyDescent="0.2">
      <c r="G63" s="70"/>
      <c r="H63" s="70"/>
      <c r="I63" s="70"/>
    </row>
  </sheetData>
  <sheetProtection password="D090" sheet="1" objects="1" scenarios="1" formatCells="0" formatColumns="0" formatRows="0"/>
  <mergeCells count="194">
    <mergeCell ref="J53:J54"/>
    <mergeCell ref="J55:J56"/>
    <mergeCell ref="H55:H56"/>
    <mergeCell ref="I55:I56"/>
    <mergeCell ref="J36:J37"/>
    <mergeCell ref="H57:H58"/>
    <mergeCell ref="I57:I58"/>
    <mergeCell ref="J23:J24"/>
    <mergeCell ref="E28:E29"/>
    <mergeCell ref="F28:F29"/>
    <mergeCell ref="G28:G29"/>
    <mergeCell ref="H28:H29"/>
    <mergeCell ref="I28:I29"/>
    <mergeCell ref="J28:J29"/>
    <mergeCell ref="I26:I27"/>
    <mergeCell ref="G23:G24"/>
    <mergeCell ref="H23:H24"/>
    <mergeCell ref="E23:E24"/>
    <mergeCell ref="F23:F24"/>
    <mergeCell ref="H26:H27"/>
    <mergeCell ref="I23:I24"/>
    <mergeCell ref="E30:E31"/>
    <mergeCell ref="H36:H37"/>
    <mergeCell ref="I36:I37"/>
    <mergeCell ref="B15:B16"/>
    <mergeCell ref="D13:D14"/>
    <mergeCell ref="H30:H31"/>
    <mergeCell ref="E36:E37"/>
    <mergeCell ref="I30:I31"/>
    <mergeCell ref="B29:B30"/>
    <mergeCell ref="D28:D29"/>
    <mergeCell ref="D30:D31"/>
    <mergeCell ref="F36:F37"/>
    <mergeCell ref="I32:I33"/>
    <mergeCell ref="H32:H33"/>
    <mergeCell ref="F32:F33"/>
    <mergeCell ref="G36:G37"/>
    <mergeCell ref="I13:I14"/>
    <mergeCell ref="I15:I16"/>
    <mergeCell ref="I17:I18"/>
    <mergeCell ref="I19:I20"/>
    <mergeCell ref="I21:I22"/>
    <mergeCell ref="A32:A33"/>
    <mergeCell ref="A25:C25"/>
    <mergeCell ref="A23:A24"/>
    <mergeCell ref="D23:D24"/>
    <mergeCell ref="A28:A29"/>
    <mergeCell ref="A30:A31"/>
    <mergeCell ref="E26:E27"/>
    <mergeCell ref="G32:G33"/>
    <mergeCell ref="F30:F31"/>
    <mergeCell ref="A36:A37"/>
    <mergeCell ref="B33:B34"/>
    <mergeCell ref="B31:B32"/>
    <mergeCell ref="D32:D33"/>
    <mergeCell ref="E32:E33"/>
    <mergeCell ref="G30:G31"/>
    <mergeCell ref="J17:J18"/>
    <mergeCell ref="J6:J7"/>
    <mergeCell ref="A6:A7"/>
    <mergeCell ref="B6:B7"/>
    <mergeCell ref="D6:D7"/>
    <mergeCell ref="E6:E7"/>
    <mergeCell ref="F8:F9"/>
    <mergeCell ref="J8:J9"/>
    <mergeCell ref="G8:G9"/>
    <mergeCell ref="E8:E9"/>
    <mergeCell ref="G6:G7"/>
    <mergeCell ref="F6:F7"/>
    <mergeCell ref="H6:H7"/>
    <mergeCell ref="H8:H9"/>
    <mergeCell ref="I8:I9"/>
    <mergeCell ref="I6:I7"/>
    <mergeCell ref="A8:A9"/>
    <mergeCell ref="B8:B9"/>
    <mergeCell ref="D8:D9"/>
    <mergeCell ref="F13:F14"/>
    <mergeCell ref="G13:G14"/>
    <mergeCell ref="H13:H14"/>
    <mergeCell ref="E10:E11"/>
    <mergeCell ref="F10:F11"/>
    <mergeCell ref="H15:H16"/>
    <mergeCell ref="G26:G27"/>
    <mergeCell ref="D26:D27"/>
    <mergeCell ref="H17:H18"/>
    <mergeCell ref="H19:H20"/>
    <mergeCell ref="H21:H22"/>
    <mergeCell ref="E21:E22"/>
    <mergeCell ref="F26:F27"/>
    <mergeCell ref="F15:F16"/>
    <mergeCell ref="F21:F22"/>
    <mergeCell ref="G21:G22"/>
    <mergeCell ref="G19:G20"/>
    <mergeCell ref="E53:E54"/>
    <mergeCell ref="I47:I48"/>
    <mergeCell ref="F50:F51"/>
    <mergeCell ref="G53:G54"/>
    <mergeCell ref="F53:F54"/>
    <mergeCell ref="B50:B51"/>
    <mergeCell ref="G45:G46"/>
    <mergeCell ref="F45:F46"/>
    <mergeCell ref="D45:D46"/>
    <mergeCell ref="E45:E46"/>
    <mergeCell ref="A49:C49"/>
    <mergeCell ref="A47:A48"/>
    <mergeCell ref="B47:B48"/>
    <mergeCell ref="D47:D48"/>
    <mergeCell ref="A45:A46"/>
    <mergeCell ref="H50:H51"/>
    <mergeCell ref="I50:I51"/>
    <mergeCell ref="G50:G51"/>
    <mergeCell ref="A50:A51"/>
    <mergeCell ref="D50:D51"/>
    <mergeCell ref="H45:H46"/>
    <mergeCell ref="I45:I46"/>
    <mergeCell ref="H53:H54"/>
    <mergeCell ref="I53:I54"/>
    <mergeCell ref="E59:E60"/>
    <mergeCell ref="J57:J58"/>
    <mergeCell ref="A57:A58"/>
    <mergeCell ref="B57:B58"/>
    <mergeCell ref="D57:D58"/>
    <mergeCell ref="E57:E58"/>
    <mergeCell ref="F57:F58"/>
    <mergeCell ref="G57:G58"/>
    <mergeCell ref="A55:A56"/>
    <mergeCell ref="B55:B56"/>
    <mergeCell ref="D55:D56"/>
    <mergeCell ref="E55:E56"/>
    <mergeCell ref="I59:I60"/>
    <mergeCell ref="H59:H60"/>
    <mergeCell ref="F55:F56"/>
    <mergeCell ref="G55:G56"/>
    <mergeCell ref="F59:F60"/>
    <mergeCell ref="A59:A60"/>
    <mergeCell ref="G59:G60"/>
    <mergeCell ref="J59:J60"/>
    <mergeCell ref="B53:B54"/>
    <mergeCell ref="D53:D54"/>
    <mergeCell ref="A53:A54"/>
    <mergeCell ref="A2:A3"/>
    <mergeCell ref="A5:C5"/>
    <mergeCell ref="A12:C12"/>
    <mergeCell ref="A35:C35"/>
    <mergeCell ref="B26:B27"/>
    <mergeCell ref="B59:B60"/>
    <mergeCell ref="D59:D60"/>
    <mergeCell ref="A21:A22"/>
    <mergeCell ref="B21:B22"/>
    <mergeCell ref="D21:D22"/>
    <mergeCell ref="D36:D37"/>
    <mergeCell ref="A17:A18"/>
    <mergeCell ref="B17:B18"/>
    <mergeCell ref="D17:D18"/>
    <mergeCell ref="A4:C4"/>
    <mergeCell ref="A10:A11"/>
    <mergeCell ref="B10:B11"/>
    <mergeCell ref="D10:D11"/>
    <mergeCell ref="B45:B46"/>
    <mergeCell ref="A26:A27"/>
    <mergeCell ref="A15:A16"/>
    <mergeCell ref="B38:B39"/>
    <mergeCell ref="J45:J46"/>
    <mergeCell ref="E50:E51"/>
    <mergeCell ref="J47:J48"/>
    <mergeCell ref="E47:E48"/>
    <mergeCell ref="F47:F48"/>
    <mergeCell ref="G47:G48"/>
    <mergeCell ref="H47:H48"/>
    <mergeCell ref="J50:J51"/>
    <mergeCell ref="J21:J22"/>
    <mergeCell ref="J30:J31"/>
    <mergeCell ref="J32:J33"/>
    <mergeCell ref="J10:J11"/>
    <mergeCell ref="J19:J20"/>
    <mergeCell ref="A19:A20"/>
    <mergeCell ref="D19:D20"/>
    <mergeCell ref="E19:E20"/>
    <mergeCell ref="J13:J14"/>
    <mergeCell ref="D15:D16"/>
    <mergeCell ref="E15:E16"/>
    <mergeCell ref="F19:F20"/>
    <mergeCell ref="G15:G16"/>
    <mergeCell ref="E17:E18"/>
    <mergeCell ref="F17:F18"/>
    <mergeCell ref="G17:G18"/>
    <mergeCell ref="G10:G11"/>
    <mergeCell ref="H10:H11"/>
    <mergeCell ref="I10:I11"/>
    <mergeCell ref="J26:J27"/>
    <mergeCell ref="J15:J16"/>
    <mergeCell ref="A13:A14"/>
    <mergeCell ref="B13:B14"/>
    <mergeCell ref="E13:E14"/>
  </mergeCells>
  <phoneticPr fontId="9" type="noConversion"/>
  <pageMargins left="0.17" right="0.19" top="0.25" bottom="0.23" header="0.3" footer="0.18"/>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9" r:id="rId4" name="Drop Down 9">
              <controlPr defaultSize="0" autoLine="0" autoPict="0">
                <anchor moveWithCells="1">
                  <from>
                    <xdr:col>2</xdr:col>
                    <xdr:colOff>400050</xdr:colOff>
                    <xdr:row>0</xdr:row>
                    <xdr:rowOff>47625</xdr:rowOff>
                  </from>
                  <to>
                    <xdr:col>2</xdr:col>
                    <xdr:colOff>1314450</xdr:colOff>
                    <xdr:row>1</xdr:row>
                    <xdr:rowOff>104775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22" workbookViewId="0">
      <selection activeCell="L27" sqref="L27"/>
    </sheetView>
  </sheetViews>
  <sheetFormatPr defaultColWidth="9" defaultRowHeight="11.25" x14ac:dyDescent="0.2"/>
  <cols>
    <col min="1" max="1" width="2.5703125" style="295" customWidth="1"/>
    <col min="2" max="2" width="64" style="295" bestFit="1" customWidth="1"/>
    <col min="3" max="3" width="38.42578125" style="295" hidden="1" customWidth="1"/>
    <col min="4" max="4" width="11.85546875" style="295" bestFit="1" customWidth="1"/>
    <col min="5" max="5" width="12" style="295" bestFit="1" customWidth="1"/>
    <col min="6" max="6" width="12.7109375" style="295" bestFit="1" customWidth="1"/>
    <col min="7" max="7" width="12" style="295" bestFit="1" customWidth="1"/>
    <col min="8" max="8" width="13.42578125" style="295" bestFit="1" customWidth="1"/>
    <col min="9" max="9" width="12.140625" style="295" bestFit="1" customWidth="1"/>
    <col min="10" max="16384" width="9" style="295"/>
  </cols>
  <sheetData>
    <row r="1" spans="1:9" x14ac:dyDescent="0.2">
      <c r="A1" s="357">
        <f>Заявка!B15</f>
        <v>0</v>
      </c>
      <c r="B1" s="357"/>
      <c r="C1" s="357"/>
    </row>
    <row r="2" spans="1:9" x14ac:dyDescent="0.2">
      <c r="B2" s="357" t="s">
        <v>1341</v>
      </c>
      <c r="C2" s="357" t="s">
        <v>1317</v>
      </c>
      <c r="D2" s="357"/>
    </row>
    <row r="3" spans="1:9" ht="12" thickBot="1" x14ac:dyDescent="0.25">
      <c r="I3" s="466"/>
    </row>
    <row r="4" spans="1:9" ht="12" thickBot="1" x14ac:dyDescent="0.25">
      <c r="B4" s="357" t="s">
        <v>1343</v>
      </c>
      <c r="C4" s="357" t="s">
        <v>1342</v>
      </c>
      <c r="D4" s="318" t="str">
        <f>Баланс!D6</f>
        <v/>
      </c>
      <c r="E4" s="318" t="str">
        <f>Баланс!E6</f>
        <v/>
      </c>
      <c r="F4" s="318" t="str">
        <f>Баланс!F6</f>
        <v/>
      </c>
      <c r="G4" s="318" t="str">
        <f>Баланс!G6</f>
        <v/>
      </c>
      <c r="H4" s="318">
        <f>Баланс!H6</f>
        <v>0</v>
      </c>
    </row>
    <row r="5" spans="1:9" x14ac:dyDescent="0.2">
      <c r="A5" s="357"/>
      <c r="B5" s="357" t="s">
        <v>1344</v>
      </c>
      <c r="C5" s="357" t="s">
        <v>1318</v>
      </c>
      <c r="D5" s="676"/>
      <c r="E5" s="676"/>
      <c r="F5" s="676"/>
      <c r="G5" s="676"/>
      <c r="H5" s="676"/>
      <c r="I5" s="360"/>
    </row>
    <row r="6" spans="1:9" x14ac:dyDescent="0.2">
      <c r="B6" s="295" t="s">
        <v>1345</v>
      </c>
      <c r="C6" s="295" t="s">
        <v>1319</v>
      </c>
      <c r="D6" s="678">
        <f>ОПУ!D34</f>
        <v>0</v>
      </c>
      <c r="E6" s="678">
        <f>ОПУ!E34</f>
        <v>0</v>
      </c>
      <c r="F6" s="678">
        <f>ОПУ!F34</f>
        <v>0</v>
      </c>
      <c r="G6" s="678">
        <f>ОПУ!G34</f>
        <v>0</v>
      </c>
      <c r="H6" s="678">
        <f>ОПУ!H34</f>
        <v>0</v>
      </c>
    </row>
    <row r="7" spans="1:9" x14ac:dyDescent="0.2">
      <c r="B7" s="679" t="s">
        <v>1346</v>
      </c>
      <c r="C7" s="679" t="s">
        <v>1336</v>
      </c>
      <c r="D7" s="682"/>
      <c r="E7" s="682"/>
      <c r="F7" s="682"/>
      <c r="G7" s="682"/>
      <c r="H7" s="682"/>
    </row>
    <row r="8" spans="1:9" x14ac:dyDescent="0.2">
      <c r="B8" s="679" t="s">
        <v>1347</v>
      </c>
      <c r="C8" s="679" t="s">
        <v>1337</v>
      </c>
      <c r="D8" s="682">
        <f>ОПУ!D24</f>
        <v>0</v>
      </c>
      <c r="E8" s="682">
        <f>ОПУ!E24</f>
        <v>0</v>
      </c>
      <c r="F8" s="682">
        <f>ОПУ!F24</f>
        <v>0</v>
      </c>
      <c r="G8" s="682">
        <f>ОПУ!G24</f>
        <v>0</v>
      </c>
      <c r="H8" s="682">
        <f>ОПУ!H24</f>
        <v>0</v>
      </c>
    </row>
    <row r="9" spans="1:9" x14ac:dyDescent="0.2">
      <c r="B9" s="679" t="s">
        <v>1348</v>
      </c>
      <c r="C9" s="679" t="s">
        <v>1338</v>
      </c>
      <c r="D9" s="682">
        <f>ОПУ!D19</f>
        <v>0</v>
      </c>
      <c r="E9" s="682">
        <f>ОПУ!E19</f>
        <v>0</v>
      </c>
      <c r="F9" s="682">
        <f>ОПУ!F19</f>
        <v>0</v>
      </c>
      <c r="G9" s="682">
        <f>ОПУ!G19</f>
        <v>0</v>
      </c>
      <c r="H9" s="682">
        <f>ОПУ!H19</f>
        <v>0</v>
      </c>
    </row>
    <row r="10" spans="1:9" x14ac:dyDescent="0.2">
      <c r="B10" s="357" t="s">
        <v>1349</v>
      </c>
      <c r="C10" s="357" t="s">
        <v>1335</v>
      </c>
      <c r="D10" s="683">
        <f>SUM(D6:D9)</f>
        <v>0</v>
      </c>
      <c r="E10" s="683">
        <f>SUM(E6:E9)</f>
        <v>0</v>
      </c>
      <c r="F10" s="683">
        <f>SUM(F6:F9)</f>
        <v>0</v>
      </c>
      <c r="G10" s="683">
        <f>SUM(G6:G9)</f>
        <v>0</v>
      </c>
      <c r="H10" s="683">
        <f>SUM(H6:H9)</f>
        <v>0</v>
      </c>
    </row>
    <row r="11" spans="1:9" x14ac:dyDescent="0.2">
      <c r="B11" s="295" t="s">
        <v>1350</v>
      </c>
      <c r="C11" s="295" t="s">
        <v>1339</v>
      </c>
      <c r="D11" s="678">
        <f>-ОПУ!D35</f>
        <v>0</v>
      </c>
      <c r="E11" s="678">
        <f>-ОПУ!E35</f>
        <v>0</v>
      </c>
      <c r="F11" s="678">
        <f>-ОПУ!F35</f>
        <v>0</v>
      </c>
      <c r="G11" s="678">
        <f>-ОПУ!G35</f>
        <v>0</v>
      </c>
      <c r="H11" s="678">
        <f>-ОПУ!H35</f>
        <v>0</v>
      </c>
    </row>
    <row r="12" spans="1:9" x14ac:dyDescent="0.2">
      <c r="B12" s="295" t="s">
        <v>1351</v>
      </c>
      <c r="C12" s="357" t="s">
        <v>1340</v>
      </c>
      <c r="D12" s="683">
        <f>-((Баланс!D11-Баланс!C11)+(Баланс!C12+ОПУ!D19-Баланс!D12))</f>
        <v>0</v>
      </c>
      <c r="E12" s="683">
        <f>-((Баланс!E11-Баланс!D11)+(Баланс!D12+ОПУ!E19-Баланс!E12))</f>
        <v>0</v>
      </c>
      <c r="F12" s="683">
        <f>-((Баланс!F11-Баланс!E11)+(Баланс!E12+ОПУ!F19-Баланс!F12))</f>
        <v>0</v>
      </c>
      <c r="G12" s="683">
        <f>-((Баланс!G11-Баланс!F11)+(Баланс!F12+ОПУ!G19-Баланс!G12))</f>
        <v>0</v>
      </c>
      <c r="H12" s="683">
        <f>-((Баланс!H11-Баланс!G11)+(Баланс!G12+ОПУ!H19-Баланс!H12))</f>
        <v>0</v>
      </c>
    </row>
    <row r="13" spans="1:9" x14ac:dyDescent="0.2">
      <c r="B13" s="295" t="s">
        <v>1352</v>
      </c>
      <c r="C13" s="295" t="s">
        <v>1221</v>
      </c>
      <c r="D13" s="678">
        <f>-((Баланс!D14+Баланс!D15)-(Баланс!C14+Баланс!C15))</f>
        <v>0</v>
      </c>
      <c r="E13" s="678">
        <f>-((Баланс!E14+Баланс!E15)-(Баланс!D14+Баланс!D15))</f>
        <v>0</v>
      </c>
      <c r="F13" s="678">
        <f>-((Баланс!F14+Баланс!F15)-(Баланс!E14+Баланс!E15))</f>
        <v>0</v>
      </c>
      <c r="G13" s="678">
        <f>-((Баланс!G14+Баланс!G15)-(Баланс!F14+Баланс!F15))</f>
        <v>0</v>
      </c>
      <c r="H13" s="678">
        <f>-((Баланс!H14+Баланс!H15)-(Баланс!G14+Баланс!G15))</f>
        <v>0</v>
      </c>
    </row>
    <row r="14" spans="1:9" x14ac:dyDescent="0.2">
      <c r="B14" s="295" t="s">
        <v>1199</v>
      </c>
      <c r="C14" s="295" t="s">
        <v>1224</v>
      </c>
      <c r="D14" s="678">
        <f>(Баланс!D28+Баланс!D29+Баланс!D33)-(Баланс!C28+Баланс!C29+Баланс!C33)</f>
        <v>0</v>
      </c>
      <c r="E14" s="678">
        <f>(Баланс!E28+Баланс!E29+Баланс!E33)-(Баланс!D28+Баланс!D29+Баланс!D33)</f>
        <v>0</v>
      </c>
      <c r="F14" s="678">
        <f>(Баланс!F28+Баланс!F29+Баланс!F33)-(Баланс!E28+Баланс!E29+Баланс!E33)</f>
        <v>0</v>
      </c>
      <c r="G14" s="678">
        <f>(Баланс!G28+Баланс!G29+Баланс!G33)-(Баланс!F28+Баланс!F29+Баланс!F33)</f>
        <v>0</v>
      </c>
      <c r="H14" s="678">
        <f>(Баланс!H28+Баланс!H29+Баланс!H33)-(Баланс!G28+Баланс!G29+Баланс!G33)</f>
        <v>0</v>
      </c>
    </row>
    <row r="15" spans="1:9" s="677" customFormat="1" ht="10.5" x14ac:dyDescent="0.15">
      <c r="B15" s="677" t="s">
        <v>1353</v>
      </c>
      <c r="C15" s="677" t="s">
        <v>1332</v>
      </c>
      <c r="D15" s="684">
        <f>SUM(D10:D14)</f>
        <v>0</v>
      </c>
      <c r="E15" s="684">
        <f t="shared" ref="E15:H15" si="0">SUM(E10:E14)</f>
        <v>0</v>
      </c>
      <c r="F15" s="684">
        <f t="shared" si="0"/>
        <v>0</v>
      </c>
      <c r="G15" s="684">
        <f t="shared" si="0"/>
        <v>0</v>
      </c>
      <c r="H15" s="684">
        <f t="shared" si="0"/>
        <v>0</v>
      </c>
    </row>
    <row r="16" spans="1:9" s="677" customFormat="1" ht="10.5" x14ac:dyDescent="0.15">
      <c r="D16" s="684"/>
      <c r="E16" s="684"/>
      <c r="F16" s="684"/>
      <c r="G16" s="684"/>
      <c r="H16" s="684"/>
    </row>
    <row r="17" spans="1:8" x14ac:dyDescent="0.2">
      <c r="A17" s="357"/>
      <c r="B17" s="357" t="s">
        <v>1354</v>
      </c>
      <c r="C17" s="357" t="s">
        <v>1321</v>
      </c>
      <c r="D17" s="683"/>
      <c r="E17" s="683"/>
      <c r="F17" s="683"/>
      <c r="G17" s="683"/>
      <c r="H17" s="683"/>
    </row>
    <row r="18" spans="1:8" x14ac:dyDescent="0.2">
      <c r="B18" s="295" t="s">
        <v>1355</v>
      </c>
      <c r="C18" s="295" t="s">
        <v>1322</v>
      </c>
      <c r="D18" s="678">
        <f>-((Баланс!D17+Баланс!D10)-(Баланс!C10+Баланс!C17))</f>
        <v>0</v>
      </c>
      <c r="E18" s="678">
        <f>-((Баланс!E17+Баланс!E10)-(Баланс!D10+Баланс!D17))</f>
        <v>0</v>
      </c>
      <c r="F18" s="678">
        <f>-((Баланс!F17+Баланс!F10)-(Баланс!E10+Баланс!E17))</f>
        <v>0</v>
      </c>
      <c r="G18" s="678">
        <f>-((Баланс!G17+Баланс!G10)-(Баланс!F10+Баланс!F17))</f>
        <v>0</v>
      </c>
      <c r="H18" s="678">
        <f>-((Баланс!H17+Баланс!H10)-(Баланс!G10+Баланс!G17))</f>
        <v>0</v>
      </c>
    </row>
    <row r="19" spans="1:8" x14ac:dyDescent="0.2">
      <c r="B19" s="295" t="s">
        <v>1356</v>
      </c>
      <c r="C19" s="295" t="s">
        <v>1323</v>
      </c>
      <c r="D19" s="678">
        <f>-((Баланс!D18-Баланс!C18)+(Баланс!C19+ОПУ!D24-Баланс!D19))</f>
        <v>0</v>
      </c>
      <c r="E19" s="678">
        <f>-((Баланс!E18-Баланс!D18)+(Баланс!D19+ОПУ!E24-Баланс!E19))</f>
        <v>0</v>
      </c>
      <c r="F19" s="678">
        <f>-((Баланс!F18-Баланс!E18)+(Баланс!E19+ОПУ!F24-Баланс!F19))</f>
        <v>0</v>
      </c>
      <c r="G19" s="678">
        <f>-((Баланс!G18-Баланс!F18)+(Баланс!F19+ОПУ!G24-Баланс!G19))</f>
        <v>0</v>
      </c>
      <c r="H19" s="678">
        <f>-((Баланс!H18-Баланс!G18)+(Баланс!G19+ОПУ!H24-Баланс!H19))</f>
        <v>0</v>
      </c>
    </row>
    <row r="20" spans="1:8" x14ac:dyDescent="0.2">
      <c r="B20" s="677" t="s">
        <v>1357</v>
      </c>
      <c r="C20" s="677" t="s">
        <v>1333</v>
      </c>
      <c r="D20" s="684">
        <f>SUM(D18:D19)</f>
        <v>0</v>
      </c>
      <c r="E20" s="684">
        <f t="shared" ref="E20:H20" si="1">SUM(E18:E19)</f>
        <v>0</v>
      </c>
      <c r="F20" s="684">
        <f t="shared" si="1"/>
        <v>0</v>
      </c>
      <c r="G20" s="684">
        <f t="shared" si="1"/>
        <v>0</v>
      </c>
      <c r="H20" s="684">
        <f t="shared" si="1"/>
        <v>0</v>
      </c>
    </row>
    <row r="21" spans="1:8" x14ac:dyDescent="0.2">
      <c r="C21" s="677"/>
      <c r="D21" s="684"/>
      <c r="E21" s="684"/>
      <c r="F21" s="684"/>
      <c r="G21" s="684"/>
      <c r="H21" s="684"/>
    </row>
    <row r="22" spans="1:8" x14ac:dyDescent="0.2">
      <c r="A22" s="357"/>
      <c r="B22" s="357" t="s">
        <v>1358</v>
      </c>
      <c r="C22" s="357" t="s">
        <v>1324</v>
      </c>
      <c r="D22" s="683"/>
      <c r="E22" s="683"/>
      <c r="F22" s="683"/>
      <c r="G22" s="683"/>
      <c r="H22" s="683"/>
    </row>
    <row r="23" spans="1:8" x14ac:dyDescent="0.2">
      <c r="A23" s="357"/>
      <c r="B23" s="295" t="s">
        <v>1359</v>
      </c>
      <c r="C23" s="295" t="s">
        <v>1325</v>
      </c>
      <c r="D23" s="678">
        <f>Баланс!D36-Баланс!C36</f>
        <v>0</v>
      </c>
      <c r="E23" s="678">
        <f>Баланс!E36-Баланс!D36</f>
        <v>0</v>
      </c>
      <c r="F23" s="678">
        <f>Баланс!F36-Баланс!E36</f>
        <v>0</v>
      </c>
      <c r="G23" s="678">
        <f>Баланс!G36-Баланс!F36</f>
        <v>0</v>
      </c>
      <c r="H23" s="678">
        <f>Баланс!H36-Баланс!G36</f>
        <v>0</v>
      </c>
    </row>
    <row r="24" spans="1:8" x14ac:dyDescent="0.2">
      <c r="A24" s="357"/>
      <c r="B24" s="295" t="s">
        <v>1360</v>
      </c>
      <c r="C24" s="295" t="s">
        <v>953</v>
      </c>
      <c r="D24" s="678">
        <f>Баланс!D37-Баланс!C37</f>
        <v>0</v>
      </c>
      <c r="E24" s="678">
        <f>Баланс!E37-Баланс!D37</f>
        <v>0</v>
      </c>
      <c r="F24" s="678">
        <f>Баланс!F37-Баланс!E37</f>
        <v>0</v>
      </c>
      <c r="G24" s="678">
        <f>Баланс!G37-Баланс!F37</f>
        <v>0</v>
      </c>
      <c r="H24" s="678">
        <f>Баланс!H37-Баланс!G37</f>
        <v>0</v>
      </c>
    </row>
    <row r="25" spans="1:8" x14ac:dyDescent="0.2">
      <c r="A25" s="357"/>
      <c r="B25" s="295" t="s">
        <v>1361</v>
      </c>
      <c r="C25" s="295" t="s">
        <v>1326</v>
      </c>
      <c r="D25" s="678">
        <f>-(Баланс!C40+Баланс!D42-Баланс!D40)</f>
        <v>0</v>
      </c>
      <c r="E25" s="678">
        <f>-(Баланс!D40+Баланс!E42-Баланс!E40)</f>
        <v>0</v>
      </c>
      <c r="F25" s="678">
        <f>-(Баланс!E40+Баланс!F42-Баланс!F40)</f>
        <v>0</v>
      </c>
      <c r="G25" s="678">
        <f>-(Баланс!F40+Баланс!G42-Баланс!G40)</f>
        <v>0</v>
      </c>
      <c r="H25" s="678">
        <f>-(Баланс!G40+Баланс!H42-Баланс!H40)</f>
        <v>0</v>
      </c>
    </row>
    <row r="26" spans="1:8" x14ac:dyDescent="0.2">
      <c r="A26" s="357"/>
      <c r="B26" s="295" t="s">
        <v>1362</v>
      </c>
      <c r="C26" s="295" t="s">
        <v>1320</v>
      </c>
      <c r="D26" s="678">
        <f>(Баланс!D27+Баланс!D32)-(Баланс!C27+Баланс!C32)</f>
        <v>0</v>
      </c>
      <c r="E26" s="678">
        <f>(Баланс!E27+Баланс!E32)-(Баланс!D27+Баланс!D32)</f>
        <v>0</v>
      </c>
      <c r="F26" s="678">
        <f>(Баланс!F27+Баланс!F32)-(Баланс!E27+Баланс!E32)</f>
        <v>0</v>
      </c>
      <c r="G26" s="678">
        <f>(Баланс!G27+Баланс!G32)-(Баланс!F27+Баланс!F32)</f>
        <v>0</v>
      </c>
      <c r="H26" s="678">
        <f>(Баланс!H27+Баланс!H32)-(Баланс!G27+Баланс!G32)</f>
        <v>0</v>
      </c>
    </row>
    <row r="27" spans="1:8" x14ac:dyDescent="0.2">
      <c r="B27" s="295" t="s">
        <v>1363</v>
      </c>
      <c r="C27" s="295" t="s">
        <v>1222</v>
      </c>
      <c r="D27" s="678">
        <f>(Баланс!D25+Баланс!D26+Баланс!D31)-(Баланс!C25+Баланс!C26+Баланс!C31)</f>
        <v>0</v>
      </c>
      <c r="E27" s="678">
        <f>(Баланс!E25+Баланс!E26+Баланс!E31)-(Баланс!D25+Баланс!D26+Баланс!D31)</f>
        <v>0</v>
      </c>
      <c r="F27" s="678">
        <f>(Баланс!F25+Баланс!F26+Баланс!F31)-(Баланс!E25+Баланс!E26+Баланс!E31)</f>
        <v>0</v>
      </c>
      <c r="G27" s="678">
        <f>(Баланс!G25+Баланс!G26+Баланс!G31)-(Баланс!F25+Баланс!F26+Баланс!F31)</f>
        <v>0</v>
      </c>
      <c r="H27" s="678">
        <f>(Баланс!H25+Баланс!H26+Баланс!H31)-(Баланс!G25+Баланс!G26+Баланс!G31)</f>
        <v>0</v>
      </c>
    </row>
    <row r="28" spans="1:8" x14ac:dyDescent="0.2">
      <c r="B28" s="295" t="s">
        <v>1364</v>
      </c>
      <c r="C28" s="295" t="s">
        <v>425</v>
      </c>
      <c r="D28" s="678">
        <f>Баланс!D43-Баланс!C43</f>
        <v>0</v>
      </c>
      <c r="E28" s="678">
        <f>Баланс!E43-Баланс!D43</f>
        <v>0</v>
      </c>
      <c r="F28" s="678">
        <f>Баланс!F43-Баланс!E43</f>
        <v>0</v>
      </c>
      <c r="G28" s="678">
        <f>Баланс!G43-Баланс!F43</f>
        <v>0</v>
      </c>
      <c r="H28" s="678">
        <f>Баланс!H43-Баланс!G43</f>
        <v>0</v>
      </c>
    </row>
    <row r="29" spans="1:8" x14ac:dyDescent="0.2">
      <c r="B29" s="295" t="s">
        <v>49</v>
      </c>
      <c r="C29" s="295" t="s">
        <v>633</v>
      </c>
      <c r="D29" s="678">
        <f>Баланс!D44-Баланс!C44</f>
        <v>0</v>
      </c>
      <c r="E29" s="678">
        <f>Баланс!E44-Баланс!D44</f>
        <v>0</v>
      </c>
      <c r="F29" s="678">
        <f>Баланс!F44-Баланс!E44</f>
        <v>0</v>
      </c>
      <c r="G29" s="678">
        <f>Баланс!G44-Баланс!F44</f>
        <v>0</v>
      </c>
      <c r="H29" s="678">
        <f>(Баланс!H44-Баланс!G44)</f>
        <v>0</v>
      </c>
    </row>
    <row r="30" spans="1:8" x14ac:dyDescent="0.2">
      <c r="B30" s="677" t="s">
        <v>1365</v>
      </c>
      <c r="C30" s="677" t="s">
        <v>1334</v>
      </c>
      <c r="D30" s="684">
        <f>SUM(D23:D29)</f>
        <v>0</v>
      </c>
      <c r="E30" s="684">
        <f t="shared" ref="E30:H30" si="2">SUM(E23:E29)</f>
        <v>0</v>
      </c>
      <c r="F30" s="684">
        <f t="shared" si="2"/>
        <v>0</v>
      </c>
      <c r="G30" s="684">
        <f t="shared" si="2"/>
        <v>0</v>
      </c>
      <c r="H30" s="684">
        <f t="shared" si="2"/>
        <v>0</v>
      </c>
    </row>
    <row r="31" spans="1:8" x14ac:dyDescent="0.2">
      <c r="C31" s="677"/>
      <c r="D31" s="684"/>
      <c r="E31" s="684"/>
      <c r="F31" s="684"/>
      <c r="G31" s="684"/>
      <c r="H31" s="684"/>
    </row>
    <row r="32" spans="1:8" x14ac:dyDescent="0.2">
      <c r="B32" s="357" t="s">
        <v>1366</v>
      </c>
      <c r="C32" s="357" t="s">
        <v>1327</v>
      </c>
      <c r="D32" s="683">
        <f>D15+D20+D30</f>
        <v>0</v>
      </c>
      <c r="E32" s="683">
        <f>E15+E20+E30</f>
        <v>0</v>
      </c>
      <c r="F32" s="683">
        <f>F15+F20+F30</f>
        <v>0</v>
      </c>
      <c r="G32" s="683">
        <f>G15+G20+G30</f>
        <v>0</v>
      </c>
      <c r="H32" s="683">
        <f>H15+H20+H30</f>
        <v>0</v>
      </c>
    </row>
    <row r="33" spans="2:8" x14ac:dyDescent="0.2">
      <c r="D33" s="678"/>
      <c r="E33" s="678"/>
      <c r="F33" s="678"/>
      <c r="G33" s="678"/>
      <c r="H33" s="678"/>
    </row>
    <row r="34" spans="2:8" x14ac:dyDescent="0.2">
      <c r="B34" s="295" t="s">
        <v>1367</v>
      </c>
      <c r="C34" s="295" t="s">
        <v>1328</v>
      </c>
      <c r="D34" s="678">
        <f>(Баланс!C8+Баланс!C9)</f>
        <v>0</v>
      </c>
      <c r="E34" s="678">
        <f>D35</f>
        <v>0</v>
      </c>
      <c r="F34" s="678">
        <f>E35</f>
        <v>0</v>
      </c>
      <c r="G34" s="678">
        <f>F35</f>
        <v>0</v>
      </c>
      <c r="H34" s="678">
        <f>G35</f>
        <v>0</v>
      </c>
    </row>
    <row r="35" spans="2:8" x14ac:dyDescent="0.2">
      <c r="B35" s="295" t="s">
        <v>1368</v>
      </c>
      <c r="C35" s="295" t="s">
        <v>1329</v>
      </c>
      <c r="D35" s="678">
        <f>Баланс!D8+Баланс!D9</f>
        <v>0</v>
      </c>
      <c r="E35" s="678">
        <f>Баланс!E8+Баланс!E9</f>
        <v>0</v>
      </c>
      <c r="F35" s="678">
        <f>Баланс!F8+Баланс!F9</f>
        <v>0</v>
      </c>
      <c r="G35" s="678">
        <f>Баланс!G8+Баланс!G9</f>
        <v>0</v>
      </c>
      <c r="H35" s="678">
        <f>Баланс!H8+Баланс!H9</f>
        <v>0</v>
      </c>
    </row>
    <row r="36" spans="2:8" x14ac:dyDescent="0.2">
      <c r="B36" s="680" t="s">
        <v>1369</v>
      </c>
      <c r="C36" s="680" t="s">
        <v>1330</v>
      </c>
      <c r="D36" s="681">
        <f>D32+D34-D35</f>
        <v>0</v>
      </c>
      <c r="E36" s="681">
        <f>E32+E34-E35</f>
        <v>0</v>
      </c>
      <c r="F36" s="681">
        <f>F32+F34-F35</f>
        <v>0</v>
      </c>
      <c r="G36" s="681">
        <f>G32+G34-G35</f>
        <v>0</v>
      </c>
      <c r="H36" s="681">
        <f>H32+H34-H35</f>
        <v>0</v>
      </c>
    </row>
    <row r="38" spans="2:8" x14ac:dyDescent="0.2">
      <c r="B38" s="357" t="s">
        <v>1370</v>
      </c>
      <c r="C38" s="357" t="s">
        <v>1377</v>
      </c>
    </row>
    <row r="39" spans="2:8" x14ac:dyDescent="0.2">
      <c r="B39" s="295" t="s">
        <v>1371</v>
      </c>
      <c r="C39" s="295" t="s">
        <v>1372</v>
      </c>
      <c r="D39" s="678">
        <f>Баланс!C14+ОПУ!D8-Баланс!D14</f>
        <v>0</v>
      </c>
      <c r="E39" s="678">
        <f>Баланс!D14+ОПУ!E8-Баланс!E14</f>
        <v>0</v>
      </c>
      <c r="F39" s="678">
        <f>Баланс!E14+ОПУ!F8-Баланс!F14</f>
        <v>0</v>
      </c>
      <c r="G39" s="678">
        <f>Баланс!F14+ОПУ!G8-Баланс!G14</f>
        <v>0</v>
      </c>
      <c r="H39" s="678">
        <f>Баланс!G14+ОПУ!H8-Баланс!H14</f>
        <v>0</v>
      </c>
    </row>
    <row r="40" spans="2:8" x14ac:dyDescent="0.2">
      <c r="B40" s="295" t="s">
        <v>1373</v>
      </c>
      <c r="C40" s="295" t="s">
        <v>1374</v>
      </c>
      <c r="D40" s="678">
        <f>Баланс!C28+ОПУ!D17-Баланс!D28</f>
        <v>0</v>
      </c>
      <c r="E40" s="678">
        <f>Баланс!D28+ОПУ!E17-Баланс!E28</f>
        <v>0</v>
      </c>
      <c r="F40" s="678">
        <f>Баланс!E28+ОПУ!F17-Баланс!F28</f>
        <v>0</v>
      </c>
      <c r="G40" s="678">
        <f>Баланс!F28+ОПУ!G17-Баланс!G28</f>
        <v>0</v>
      </c>
      <c r="H40" s="678">
        <f>Баланс!G28+ОПУ!H17-Баланс!H28</f>
        <v>0</v>
      </c>
    </row>
    <row r="41" spans="2:8" x14ac:dyDescent="0.2">
      <c r="B41" s="295" t="s">
        <v>179</v>
      </c>
      <c r="C41" s="295" t="s">
        <v>1378</v>
      </c>
      <c r="D41" s="678">
        <f>ОПУ!D26</f>
        <v>0</v>
      </c>
      <c r="E41" s="678">
        <f>ОПУ!E26</f>
        <v>0</v>
      </c>
      <c r="F41" s="678">
        <f>ОПУ!F26</f>
        <v>0</v>
      </c>
      <c r="G41" s="678">
        <f>ОПУ!G26</f>
        <v>0</v>
      </c>
      <c r="H41" s="678">
        <f>ОПУ!H26</f>
        <v>0</v>
      </c>
    </row>
    <row r="42" spans="2:8" x14ac:dyDescent="0.2">
      <c r="B42" s="677" t="s">
        <v>1379</v>
      </c>
      <c r="C42" s="677" t="s">
        <v>1380</v>
      </c>
      <c r="D42" s="687">
        <f>D39-D40-D41</f>
        <v>0</v>
      </c>
      <c r="E42" s="687">
        <f t="shared" ref="E42:H42" si="3">E39-E40-E41</f>
        <v>0</v>
      </c>
      <c r="F42" s="687">
        <f t="shared" si="3"/>
        <v>0</v>
      </c>
      <c r="G42" s="687">
        <f t="shared" si="3"/>
        <v>0</v>
      </c>
      <c r="H42" s="687">
        <f t="shared" si="3"/>
        <v>0</v>
      </c>
    </row>
    <row r="43" spans="2:8" x14ac:dyDescent="0.2">
      <c r="D43" s="685"/>
      <c r="E43" s="685"/>
      <c r="F43" s="685"/>
      <c r="G43" s="685"/>
      <c r="H43" s="685"/>
    </row>
    <row r="44" spans="2:8" x14ac:dyDescent="0.2">
      <c r="B44" s="295" t="s">
        <v>1376</v>
      </c>
      <c r="C44" s="295" t="s">
        <v>1375</v>
      </c>
      <c r="D44" s="678">
        <f>Баланс!C11+Портфель!D107-Баланс!D11</f>
        <v>0</v>
      </c>
      <c r="E44" s="678">
        <f>Баланс!D11+Портфель!F107-Баланс!E11</f>
        <v>0</v>
      </c>
      <c r="F44" s="678">
        <f>Баланс!E11+Портфель!H107-Баланс!F11</f>
        <v>0</v>
      </c>
      <c r="G44" s="678">
        <f>Баланс!F11+Портфель!J107-Баланс!G11</f>
        <v>0</v>
      </c>
      <c r="H44" s="678">
        <f>Баланс!G11+Портфель!L107-Баланс!H11</f>
        <v>0</v>
      </c>
    </row>
    <row r="45" spans="2:8" x14ac:dyDescent="0.2">
      <c r="B45" s="679" t="s">
        <v>1381</v>
      </c>
      <c r="C45" s="679" t="s">
        <v>1384</v>
      </c>
      <c r="D45" s="688" t="e">
        <f>D44/((Баланс!D11+Баланс!C11)/2)</f>
        <v>#DIV/0!</v>
      </c>
      <c r="E45" s="688" t="e">
        <f>E44/((Баланс!E11+Баланс!D11)/2)</f>
        <v>#DIV/0!</v>
      </c>
      <c r="F45" s="688" t="e">
        <f>F44/((Баланс!F11+Баланс!E11)/2)</f>
        <v>#DIV/0!</v>
      </c>
      <c r="G45" s="688" t="e">
        <f>G44/((Баланс!G11+Баланс!F11)/2)</f>
        <v>#DIV/0!</v>
      </c>
      <c r="H45" s="688" t="e">
        <f>H44/((Баланс!H11+Баланс!G11)/2)</f>
        <v>#DIV/0!</v>
      </c>
    </row>
    <row r="46" spans="2:8" x14ac:dyDescent="0.2">
      <c r="B46" s="679" t="s">
        <v>1382</v>
      </c>
      <c r="C46" s="679" t="s">
        <v>1385</v>
      </c>
      <c r="D46" s="686">
        <f>D44/12</f>
        <v>0</v>
      </c>
      <c r="E46" s="686">
        <f t="shared" ref="E46:H46" si="4">E44/12</f>
        <v>0</v>
      </c>
      <c r="F46" s="686">
        <f t="shared" si="4"/>
        <v>0</v>
      </c>
      <c r="G46" s="686">
        <f t="shared" si="4"/>
        <v>0</v>
      </c>
      <c r="H46" s="686">
        <f t="shared" si="4"/>
        <v>0</v>
      </c>
    </row>
    <row r="47" spans="2:8" x14ac:dyDescent="0.2">
      <c r="B47" s="679" t="s">
        <v>1383</v>
      </c>
      <c r="C47" s="295" t="s">
        <v>1386</v>
      </c>
      <c r="D47" s="686">
        <f>D39/12</f>
        <v>0</v>
      </c>
      <c r="E47" s="686">
        <f t="shared" ref="E47:H47" si="5">E39/12</f>
        <v>0</v>
      </c>
      <c r="F47" s="686">
        <f t="shared" si="5"/>
        <v>0</v>
      </c>
      <c r="G47" s="686">
        <f t="shared" si="5"/>
        <v>0</v>
      </c>
      <c r="H47" s="686">
        <f t="shared" si="5"/>
        <v>0</v>
      </c>
    </row>
    <row r="48" spans="2:8" x14ac:dyDescent="0.2">
      <c r="B48" s="677" t="s">
        <v>1387</v>
      </c>
      <c r="C48" s="677" t="s">
        <v>1388</v>
      </c>
      <c r="D48" s="687">
        <f>D46+D47</f>
        <v>0</v>
      </c>
      <c r="E48" s="687">
        <f t="shared" ref="E48:H48" si="6">E46+E47</f>
        <v>0</v>
      </c>
      <c r="F48" s="687">
        <f t="shared" si="6"/>
        <v>0</v>
      </c>
      <c r="G48" s="687">
        <f t="shared" si="6"/>
        <v>0</v>
      </c>
      <c r="H48" s="687">
        <f t="shared" si="6"/>
        <v>0</v>
      </c>
    </row>
    <row r="50" spans="2:8" x14ac:dyDescent="0.2">
      <c r="B50" s="357" t="s">
        <v>1393</v>
      </c>
      <c r="C50" s="357" t="s">
        <v>1394</v>
      </c>
      <c r="D50" s="683">
        <f>Баланс!C12+ОПУ!D19-Баланс!D12</f>
        <v>0</v>
      </c>
      <c r="E50" s="683">
        <f>Баланс!D12+ОПУ!E19-Баланс!E12</f>
        <v>0</v>
      </c>
      <c r="F50" s="683">
        <f>Баланс!E12+ОПУ!F19-Баланс!F12</f>
        <v>0</v>
      </c>
      <c r="G50" s="683">
        <f>Баланс!F12+ОПУ!G19-Баланс!G12</f>
        <v>0</v>
      </c>
      <c r="H50" s="683">
        <f>Баланс!G12+ОПУ!H19-Баланс!H12</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2:I196"/>
  <sheetViews>
    <sheetView showGridLines="0" zoomScaleNormal="100" workbookViewId="0">
      <selection activeCell="I38" sqref="I38"/>
    </sheetView>
  </sheetViews>
  <sheetFormatPr defaultColWidth="24.85546875" defaultRowHeight="11.25" x14ac:dyDescent="0.2"/>
  <cols>
    <col min="1" max="1" width="38.140625" style="382" customWidth="1"/>
    <col min="2" max="7" width="12" style="382" bestFit="1" customWidth="1"/>
    <col min="8" max="8" width="14.140625" style="382" customWidth="1"/>
    <col min="9" max="9" width="17" style="382" customWidth="1"/>
    <col min="10" max="11" width="9.42578125" style="382" customWidth="1"/>
    <col min="12" max="12" width="12.140625" style="382" customWidth="1"/>
    <col min="13" max="16384" width="24.85546875" style="382"/>
  </cols>
  <sheetData>
    <row r="2" spans="1:9" x14ac:dyDescent="0.2">
      <c r="A2" s="106" t="str">
        <f>IF(Заявка!B15&gt;0,Заявка!B15,"")</f>
        <v/>
      </c>
      <c r="B2" s="106"/>
      <c r="C2" s="106"/>
    </row>
    <row r="3" spans="1:9" x14ac:dyDescent="0.2">
      <c r="A3" s="981" t="str">
        <f>IF(L!$B$249=1,L!B254,L!C254)</f>
        <v>АНАЛИЗ КРЕДИТНОГО ПОРТФЕЛЯ</v>
      </c>
      <c r="B3" s="106"/>
      <c r="C3" s="106"/>
    </row>
    <row r="4" spans="1:9" x14ac:dyDescent="0.2">
      <c r="A4" s="981"/>
      <c r="B4" s="383"/>
      <c r="C4" s="383"/>
    </row>
    <row r="5" spans="1:9" ht="12" thickBot="1" x14ac:dyDescent="0.25">
      <c r="A5" s="383"/>
      <c r="B5" s="383"/>
      <c r="C5" s="383"/>
    </row>
    <row r="6" spans="1:9" x14ac:dyDescent="0.2">
      <c r="A6" s="429" t="str">
        <f>IF(L!$B$249=1,L!C13,L!B13)</f>
        <v>ОТЧЕТНЫЙ ПЕРИОД :</v>
      </c>
      <c r="B6" s="430" t="str">
        <f>Баланс!C6</f>
        <v/>
      </c>
      <c r="C6" s="430" t="str">
        <f>Баланс!D6</f>
        <v/>
      </c>
      <c r="D6" s="430" t="str">
        <f>Баланс!E6</f>
        <v/>
      </c>
      <c r="E6" s="430" t="str">
        <f>Баланс!F6</f>
        <v/>
      </c>
      <c r="F6" s="430" t="str">
        <f>Баланс!G6</f>
        <v/>
      </c>
      <c r="G6" s="431">
        <f>Баланс!H6</f>
        <v>0</v>
      </c>
      <c r="I6" s="384"/>
    </row>
    <row r="7" spans="1:9" ht="22.5" x14ac:dyDescent="0.2">
      <c r="A7" s="432" t="str">
        <f>IF(L!$B$249=1,L!B264,L!C264)</f>
        <v>I. Объем кредитного портфеля в разрезе методологий кредитования</v>
      </c>
      <c r="B7" s="385" t="str">
        <f>IF(L!$B$249=1,L!B256,L!C256)</f>
        <v>Доля (сумма)</v>
      </c>
      <c r="C7" s="385" t="str">
        <f>IF(L!$B$249=1,L!B256,L!C256)</f>
        <v>Доля (сумма)</v>
      </c>
      <c r="D7" s="385" t="str">
        <f>IF(L!$B$249=1,L!B256,L!C256)</f>
        <v>Доля (сумма)</v>
      </c>
      <c r="E7" s="385" t="str">
        <f>IF(L!$B$249=1,L!B256,L!C256)</f>
        <v>Доля (сумма)</v>
      </c>
      <c r="F7" s="385" t="str">
        <f>IF(L!$B$249=1,L!B256,L!C256)</f>
        <v>Доля (сумма)</v>
      </c>
      <c r="G7" s="224" t="str">
        <f>IF(L!$B$249=1,L!B256,L!C256)</f>
        <v>Доля (сумма)</v>
      </c>
    </row>
    <row r="8" spans="1:9" x14ac:dyDescent="0.2">
      <c r="A8" s="433" t="str">
        <f>IF(L!$B$249=1,L!B265,L!C265)</f>
        <v>Индивидуальное</v>
      </c>
      <c r="B8" s="477" t="e">
        <f>Портфель!B8/Портфель!B11</f>
        <v>#DIV/0!</v>
      </c>
      <c r="C8" s="477" t="e">
        <f>Портфель!D8/Портфель!D11</f>
        <v>#DIV/0!</v>
      </c>
      <c r="D8" s="477" t="e">
        <f>Портфель!F8/Портфель!F$11</f>
        <v>#DIV/0!</v>
      </c>
      <c r="E8" s="477" t="e">
        <f>Портфель!H8/Портфель!H$11</f>
        <v>#DIV/0!</v>
      </c>
      <c r="F8" s="477" t="e">
        <f>Портфель!J8/Портфель!J$11</f>
        <v>#DIV/0!</v>
      </c>
      <c r="G8" s="478" t="e">
        <f>Портфель!L8/Портфель!L$11</f>
        <v>#DIV/0!</v>
      </c>
    </row>
    <row r="9" spans="1:9" x14ac:dyDescent="0.2">
      <c r="A9" s="433" t="str">
        <f>IF(L!$B$249=1,L!B266,L!C266)</f>
        <v>Групповое</v>
      </c>
      <c r="B9" s="477" t="e">
        <f>Портфель!B9/Портфель!B11</f>
        <v>#DIV/0!</v>
      </c>
      <c r="C9" s="477" t="e">
        <f>Портфель!D9/Портфель!D11</f>
        <v>#DIV/0!</v>
      </c>
      <c r="D9" s="477" t="e">
        <f>Портфель!F9/Портфель!F$11</f>
        <v>#DIV/0!</v>
      </c>
      <c r="E9" s="477" t="e">
        <f>Портфель!H9/Портфель!H$11</f>
        <v>#DIV/0!</v>
      </c>
      <c r="F9" s="477" t="e">
        <f>Портфель!J9/Портфель!J$11</f>
        <v>#DIV/0!</v>
      </c>
      <c r="G9" s="478" t="e">
        <f>Портфель!L9/Портфель!L$11</f>
        <v>#DIV/0!</v>
      </c>
    </row>
    <row r="10" spans="1:9" x14ac:dyDescent="0.2">
      <c r="A10" s="433" t="str">
        <f>IF(L!$B$249=1,L!B267,L!C267)</f>
        <v>Другой вид кредитования</v>
      </c>
      <c r="B10" s="477" t="e">
        <f>Портфель!B10/Портфель!B11</f>
        <v>#DIV/0!</v>
      </c>
      <c r="C10" s="477" t="e">
        <f>Портфель!D10/Портфель!D11</f>
        <v>#DIV/0!</v>
      </c>
      <c r="D10" s="477" t="e">
        <f>Портфель!F10/Портфель!F$11</f>
        <v>#DIV/0!</v>
      </c>
      <c r="E10" s="477" t="e">
        <f>Портфель!H10/Портфель!H$11</f>
        <v>#DIV/0!</v>
      </c>
      <c r="F10" s="477" t="e">
        <f>Портфель!J10/Портфель!J$11</f>
        <v>#DIV/0!</v>
      </c>
      <c r="G10" s="478" t="e">
        <f>Портфель!L10/Портфель!L$11</f>
        <v>#DIV/0!</v>
      </c>
    </row>
    <row r="11" spans="1:9" ht="12" thickBot="1" x14ac:dyDescent="0.25">
      <c r="A11" s="389" t="str">
        <f>IF(L!$B$249=1,L!B268,L!C268)</f>
        <v>ИТОГО</v>
      </c>
      <c r="B11" s="434" t="e">
        <f t="shared" ref="B11:G11" si="0">SUM(B8:B10)</f>
        <v>#DIV/0!</v>
      </c>
      <c r="C11" s="434" t="e">
        <f t="shared" si="0"/>
        <v>#DIV/0!</v>
      </c>
      <c r="D11" s="434" t="e">
        <f t="shared" si="0"/>
        <v>#DIV/0!</v>
      </c>
      <c r="E11" s="434" t="e">
        <f t="shared" si="0"/>
        <v>#DIV/0!</v>
      </c>
      <c r="F11" s="434" t="e">
        <f t="shared" si="0"/>
        <v>#DIV/0!</v>
      </c>
      <c r="G11" s="435" t="e">
        <f t="shared" si="0"/>
        <v>#DIV/0!</v>
      </c>
    </row>
    <row r="12" spans="1:9" x14ac:dyDescent="0.2">
      <c r="A12" s="386"/>
      <c r="B12" s="121"/>
      <c r="C12" s="121"/>
      <c r="D12" s="121"/>
      <c r="E12" s="121"/>
      <c r="F12" s="121"/>
      <c r="G12" s="121"/>
      <c r="H12" s="387"/>
    </row>
    <row r="13" spans="1:9" ht="12" thickBot="1" x14ac:dyDescent="0.25">
      <c r="A13" s="386"/>
      <c r="B13" s="121"/>
      <c r="C13" s="121"/>
      <c r="D13" s="121"/>
      <c r="E13" s="121"/>
      <c r="F13" s="121"/>
      <c r="G13" s="121"/>
      <c r="H13" s="387"/>
    </row>
    <row r="14" spans="1:9" x14ac:dyDescent="0.2">
      <c r="A14" s="429"/>
      <c r="B14" s="430" t="str">
        <f t="shared" ref="B14:G15" si="1">B6</f>
        <v/>
      </c>
      <c r="C14" s="430" t="str">
        <f t="shared" si="1"/>
        <v/>
      </c>
      <c r="D14" s="430" t="str">
        <f t="shared" si="1"/>
        <v/>
      </c>
      <c r="E14" s="430" t="str">
        <f t="shared" si="1"/>
        <v/>
      </c>
      <c r="F14" s="430" t="str">
        <f t="shared" si="1"/>
        <v/>
      </c>
      <c r="G14" s="431">
        <f t="shared" si="1"/>
        <v>0</v>
      </c>
    </row>
    <row r="15" spans="1:9" ht="22.5" x14ac:dyDescent="0.2">
      <c r="A15" s="436" t="str">
        <f>IF(L!$B$249=1,L!B270,L!C270)</f>
        <v>II. Объем кредитного портфеля в разрезе валюты кредитования</v>
      </c>
      <c r="B15" s="385" t="str">
        <f t="shared" si="1"/>
        <v>Доля (сумма)</v>
      </c>
      <c r="C15" s="385" t="str">
        <f t="shared" si="1"/>
        <v>Доля (сумма)</v>
      </c>
      <c r="D15" s="385" t="str">
        <f t="shared" si="1"/>
        <v>Доля (сумма)</v>
      </c>
      <c r="E15" s="385" t="str">
        <f t="shared" si="1"/>
        <v>Доля (сумма)</v>
      </c>
      <c r="F15" s="385" t="str">
        <f t="shared" si="1"/>
        <v>Доля (сумма)</v>
      </c>
      <c r="G15" s="224" t="str">
        <f t="shared" si="1"/>
        <v>Доля (сумма)</v>
      </c>
    </row>
    <row r="16" spans="1:9" x14ac:dyDescent="0.2">
      <c r="A16" s="437" t="str">
        <f>IF(L!$B$249=1,L!B271,L!C271)</f>
        <v>В национальной валюте</v>
      </c>
      <c r="B16" s="479" t="e">
        <f>Портфель!B16/Портфель!B$22</f>
        <v>#DIV/0!</v>
      </c>
      <c r="C16" s="479" t="e">
        <f>Портфель!D16/Портфель!D$22</f>
        <v>#DIV/0!</v>
      </c>
      <c r="D16" s="479" t="e">
        <f>Портфель!F16/Портфель!F$22</f>
        <v>#DIV/0!</v>
      </c>
      <c r="E16" s="479" t="e">
        <f>Портфель!H16/Портфель!H$22</f>
        <v>#DIV/0!</v>
      </c>
      <c r="F16" s="479" t="e">
        <f>Портфель!J16/Портфель!J$22</f>
        <v>#DIV/0!</v>
      </c>
      <c r="G16" s="480" t="e">
        <f>Портфель!L16/Портфель!L$22</f>
        <v>#DIV/0!</v>
      </c>
    </row>
    <row r="17" spans="1:7" x14ac:dyDescent="0.2">
      <c r="A17" s="437" t="str">
        <f>IF(L!$B$249=1,L!B272,L!C272)</f>
        <v>В долларах США</v>
      </c>
      <c r="B17" s="479" t="e">
        <f>Портфель!B17/Портфель!B$22</f>
        <v>#DIV/0!</v>
      </c>
      <c r="C17" s="479" t="e">
        <f>Портфель!D17/Портфель!D$22</f>
        <v>#DIV/0!</v>
      </c>
      <c r="D17" s="479" t="e">
        <f>Портфель!F17/Портфель!F$22</f>
        <v>#DIV/0!</v>
      </c>
      <c r="E17" s="479" t="e">
        <f>Портфель!H17/Портфель!H$22</f>
        <v>#DIV/0!</v>
      </c>
      <c r="F17" s="479" t="e">
        <f>Портфель!J17/Портфель!J$22</f>
        <v>#DIV/0!</v>
      </c>
      <c r="G17" s="480" t="e">
        <f>Портфель!L17/Портфель!L$22</f>
        <v>#DIV/0!</v>
      </c>
    </row>
    <row r="18" spans="1:7" x14ac:dyDescent="0.2">
      <c r="A18" s="437" t="str">
        <f>IF(L!$B$249=1,L!B273,L!C273)</f>
        <v>Индексированные кредиты к $ США</v>
      </c>
      <c r="B18" s="479" t="e">
        <f>Портфель!B18/Портфель!B$22</f>
        <v>#DIV/0!</v>
      </c>
      <c r="C18" s="479" t="e">
        <f>Портфель!D18/Портфель!D$22</f>
        <v>#DIV/0!</v>
      </c>
      <c r="D18" s="479" t="e">
        <f>Портфель!F18/Портфель!F$22</f>
        <v>#DIV/0!</v>
      </c>
      <c r="E18" s="479" t="e">
        <f>Портфель!H18/Портфель!H$22</f>
        <v>#DIV/0!</v>
      </c>
      <c r="F18" s="479" t="e">
        <f>Портфель!J18/Портфель!J$22</f>
        <v>#DIV/0!</v>
      </c>
      <c r="G18" s="480" t="e">
        <f>Портфель!L18/Портфель!L$22</f>
        <v>#DIV/0!</v>
      </c>
    </row>
    <row r="19" spans="1:7" x14ac:dyDescent="0.2">
      <c r="A19" s="437" t="str">
        <f>IF(L!$B$249=1,L!B274,L!C274)</f>
        <v>В ЕВРО</v>
      </c>
      <c r="B19" s="479" t="e">
        <f>Портфель!B19/Портфель!B$22</f>
        <v>#DIV/0!</v>
      </c>
      <c r="C19" s="479" t="e">
        <f>Портфель!D19/Портфель!D$22</f>
        <v>#DIV/0!</v>
      </c>
      <c r="D19" s="479" t="e">
        <f>Портфель!F19/Портфель!F$22</f>
        <v>#DIV/0!</v>
      </c>
      <c r="E19" s="479" t="e">
        <f>Портфель!H19/Портфель!H$22</f>
        <v>#DIV/0!</v>
      </c>
      <c r="F19" s="479" t="e">
        <f>Портфель!J19/Портфель!J$22</f>
        <v>#DIV/0!</v>
      </c>
      <c r="G19" s="480" t="e">
        <f>Портфель!L19/Портфель!L$22</f>
        <v>#DIV/0!</v>
      </c>
    </row>
    <row r="20" spans="1:7" x14ac:dyDescent="0.2">
      <c r="A20" s="437" t="str">
        <f>IF(L!$B$249=1,L!B275,L!C275)</f>
        <v>Индексированные кредиты к ЕВРО</v>
      </c>
      <c r="B20" s="479" t="e">
        <f>Портфель!B20/Портфель!B$22</f>
        <v>#DIV/0!</v>
      </c>
      <c r="C20" s="479" t="e">
        <f>Портфель!D20/Портфель!D$22</f>
        <v>#DIV/0!</v>
      </c>
      <c r="D20" s="479" t="e">
        <f>Портфель!F20/Портфель!F$22</f>
        <v>#DIV/0!</v>
      </c>
      <c r="E20" s="479" t="e">
        <f>Портфель!H20/Портфель!H$22</f>
        <v>#DIV/0!</v>
      </c>
      <c r="F20" s="479" t="e">
        <f>Портфель!J20/Портфель!J$22</f>
        <v>#DIV/0!</v>
      </c>
      <c r="G20" s="480" t="e">
        <f>Портфель!L20/Портфель!L$22</f>
        <v>#DIV/0!</v>
      </c>
    </row>
    <row r="21" spans="1:7" x14ac:dyDescent="0.2">
      <c r="A21" s="437" t="str">
        <f>IF(L!$B$249=1,L!B276,L!C276)</f>
        <v>В другой иностранной валюте</v>
      </c>
      <c r="B21" s="479" t="e">
        <f>Портфель!B21/Портфель!B$22</f>
        <v>#DIV/0!</v>
      </c>
      <c r="C21" s="479" t="e">
        <f>Портфель!D21/Портфель!D$22</f>
        <v>#DIV/0!</v>
      </c>
      <c r="D21" s="479" t="e">
        <f>Портфель!F21/Портфель!F$22</f>
        <v>#DIV/0!</v>
      </c>
      <c r="E21" s="479" t="e">
        <f>Портфель!H21/Портфель!H$22</f>
        <v>#DIV/0!</v>
      </c>
      <c r="F21" s="479" t="e">
        <f>Портфель!J21/Портфель!J$22</f>
        <v>#DIV/0!</v>
      </c>
      <c r="G21" s="480" t="e">
        <f>Портфель!L21/Портфель!L$22</f>
        <v>#DIV/0!</v>
      </c>
    </row>
    <row r="22" spans="1:7" ht="12" thickBot="1" x14ac:dyDescent="0.25">
      <c r="A22" s="438" t="str">
        <f>IF(L!$B$249=1,L!B277,L!C277)</f>
        <v>ИТОГО</v>
      </c>
      <c r="B22" s="434" t="e">
        <f t="shared" ref="B22:G22" si="2">SUM(B16:B21)</f>
        <v>#DIV/0!</v>
      </c>
      <c r="C22" s="434" t="e">
        <f t="shared" si="2"/>
        <v>#DIV/0!</v>
      </c>
      <c r="D22" s="434" t="e">
        <f t="shared" si="2"/>
        <v>#DIV/0!</v>
      </c>
      <c r="E22" s="434" t="e">
        <f t="shared" si="2"/>
        <v>#DIV/0!</v>
      </c>
      <c r="F22" s="434" t="e">
        <f t="shared" si="2"/>
        <v>#DIV/0!</v>
      </c>
      <c r="G22" s="435" t="e">
        <f t="shared" si="2"/>
        <v>#DIV/0!</v>
      </c>
    </row>
    <row r="23" spans="1:7" ht="12" thickBot="1" x14ac:dyDescent="0.25">
      <c r="A23" s="386"/>
      <c r="B23" s="388"/>
      <c r="C23" s="388"/>
      <c r="D23" s="388"/>
      <c r="E23" s="388"/>
      <c r="F23" s="388"/>
      <c r="G23" s="388"/>
    </row>
    <row r="24" spans="1:7" x14ac:dyDescent="0.2">
      <c r="A24" s="429"/>
      <c r="B24" s="430" t="str">
        <f t="shared" ref="B24:G25" si="3">B14</f>
        <v/>
      </c>
      <c r="C24" s="430" t="str">
        <f t="shared" si="3"/>
        <v/>
      </c>
      <c r="D24" s="430" t="str">
        <f t="shared" si="3"/>
        <v/>
      </c>
      <c r="E24" s="430" t="str">
        <f t="shared" si="3"/>
        <v/>
      </c>
      <c r="F24" s="430" t="str">
        <f t="shared" si="3"/>
        <v/>
      </c>
      <c r="G24" s="431">
        <f t="shared" si="3"/>
        <v>0</v>
      </c>
    </row>
    <row r="25" spans="1:7" ht="22.5" x14ac:dyDescent="0.2">
      <c r="A25" s="436" t="str">
        <f>IF(L!$B$249=1,L!B279,L!C279)</f>
        <v xml:space="preserve">III. Объем кредитного портфеля в разрезе отраслей </v>
      </c>
      <c r="B25" s="385" t="str">
        <f t="shared" si="3"/>
        <v>Доля (сумма)</v>
      </c>
      <c r="C25" s="385" t="str">
        <f t="shared" si="3"/>
        <v>Доля (сумма)</v>
      </c>
      <c r="D25" s="385" t="str">
        <f t="shared" si="3"/>
        <v>Доля (сумма)</v>
      </c>
      <c r="E25" s="385" t="str">
        <f t="shared" si="3"/>
        <v>Доля (сумма)</v>
      </c>
      <c r="F25" s="385" t="str">
        <f t="shared" si="3"/>
        <v>Доля (сумма)</v>
      </c>
      <c r="G25" s="224" t="str">
        <f t="shared" si="3"/>
        <v>Доля (сумма)</v>
      </c>
    </row>
    <row r="26" spans="1:7" x14ac:dyDescent="0.2">
      <c r="A26" s="437" t="str">
        <f>IF(L!$B$249=1,L!B280,L!C280)</f>
        <v>Растениеводство</v>
      </c>
      <c r="B26" s="481" t="e">
        <f>Портфель!B26/Портфель!B$36</f>
        <v>#DIV/0!</v>
      </c>
      <c r="C26" s="479" t="e">
        <f>Портфель!D26/Портфель!D$36</f>
        <v>#DIV/0!</v>
      </c>
      <c r="D26" s="479" t="e">
        <f>Портфель!F26/Портфель!F$36</f>
        <v>#DIV/0!</v>
      </c>
      <c r="E26" s="479" t="e">
        <f>Портфель!H26/Портфель!H$36</f>
        <v>#DIV/0!</v>
      </c>
      <c r="F26" s="479" t="e">
        <f>Портфель!J26/Портфель!J$36</f>
        <v>#DIV/0!</v>
      </c>
      <c r="G26" s="480" t="e">
        <f>Портфель!L26/Портфель!L$36</f>
        <v>#DIV/0!</v>
      </c>
    </row>
    <row r="27" spans="1:7" x14ac:dyDescent="0.2">
      <c r="A27" s="437" t="str">
        <f>IF(L!$B$249=1,L!B281,L!C281)</f>
        <v>Животноводство</v>
      </c>
      <c r="B27" s="481" t="e">
        <f>Портфель!B27/Портфель!B$36</f>
        <v>#DIV/0!</v>
      </c>
      <c r="C27" s="479" t="e">
        <f>Портфель!D27/Портфель!D$36</f>
        <v>#DIV/0!</v>
      </c>
      <c r="D27" s="479" t="e">
        <f>Портфель!F27/Портфель!F$36</f>
        <v>#DIV/0!</v>
      </c>
      <c r="E27" s="479" t="e">
        <f>Портфель!H27/Портфель!H$36</f>
        <v>#DIV/0!</v>
      </c>
      <c r="F27" s="479" t="e">
        <f>Портфель!J27/Портфель!J$36</f>
        <v>#DIV/0!</v>
      </c>
      <c r="G27" s="480" t="e">
        <f>Портфель!L27/Портфель!L$36</f>
        <v>#DIV/0!</v>
      </c>
    </row>
    <row r="28" spans="1:7" x14ac:dyDescent="0.2">
      <c r="A28" s="437" t="str">
        <f>IF(L!$B$249=1,L!B282,L!C282)</f>
        <v>Производство</v>
      </c>
      <c r="B28" s="481" t="e">
        <f>Портфель!B28/Портфель!B$36</f>
        <v>#DIV/0!</v>
      </c>
      <c r="C28" s="479" t="e">
        <f>Портфель!D28/Портфель!D$36</f>
        <v>#DIV/0!</v>
      </c>
      <c r="D28" s="479" t="e">
        <f>Портфель!F28/Портфель!F$36</f>
        <v>#DIV/0!</v>
      </c>
      <c r="E28" s="479" t="e">
        <f>Портфель!H28/Портфель!H$36</f>
        <v>#DIV/0!</v>
      </c>
      <c r="F28" s="479" t="e">
        <f>Портфель!J28/Портфель!J$36</f>
        <v>#DIV/0!</v>
      </c>
      <c r="G28" s="480" t="e">
        <f>Портфель!L28/Портфель!L$36</f>
        <v>#DIV/0!</v>
      </c>
    </row>
    <row r="29" spans="1:7" x14ac:dyDescent="0.2">
      <c r="A29" s="437" t="str">
        <f>IF(L!$B$249=1,L!B283,L!C283)</f>
        <v>Торговля</v>
      </c>
      <c r="B29" s="481" t="e">
        <f>Портфель!B29/Портфель!B$36</f>
        <v>#DIV/0!</v>
      </c>
      <c r="C29" s="479" t="e">
        <f>Портфель!D29/Портфель!D$36</f>
        <v>#DIV/0!</v>
      </c>
      <c r="D29" s="479" t="e">
        <f>Портфель!F29/Портфель!F$36</f>
        <v>#DIV/0!</v>
      </c>
      <c r="E29" s="479" t="e">
        <f>Портфель!H29/Портфель!H$36</f>
        <v>#DIV/0!</v>
      </c>
      <c r="F29" s="479" t="e">
        <f>Портфель!J29/Портфель!J$36</f>
        <v>#DIV/0!</v>
      </c>
      <c r="G29" s="480" t="e">
        <f>Портфель!L29/Портфель!L$36</f>
        <v>#DIV/0!</v>
      </c>
    </row>
    <row r="30" spans="1:7" x14ac:dyDescent="0.2">
      <c r="A30" s="437" t="str">
        <f>IF(L!$B$249=1,L!B284,L!C284)</f>
        <v>Приобретение техники и оборудования</v>
      </c>
      <c r="B30" s="481" t="e">
        <f>Портфель!B30/Портфель!B$36</f>
        <v>#DIV/0!</v>
      </c>
      <c r="C30" s="479" t="e">
        <f>Портфель!D30/Портфель!D$36</f>
        <v>#DIV/0!</v>
      </c>
      <c r="D30" s="479" t="e">
        <f>Портфель!F30/Портфель!F$36</f>
        <v>#DIV/0!</v>
      </c>
      <c r="E30" s="479" t="e">
        <f>Портфель!H30/Портфель!H$36</f>
        <v>#DIV/0!</v>
      </c>
      <c r="F30" s="479" t="e">
        <f>Портфель!J30/Портфель!J$36</f>
        <v>#DIV/0!</v>
      </c>
      <c r="G30" s="480" t="e">
        <f>Портфель!L30/Портфель!L$36</f>
        <v>#DIV/0!</v>
      </c>
    </row>
    <row r="31" spans="1:7" x14ac:dyDescent="0.2">
      <c r="A31" s="437" t="str">
        <f>IF(L!$B$249=1,L!B285,L!C285)</f>
        <v>Ипотека</v>
      </c>
      <c r="B31" s="481" t="e">
        <f>Портфель!B31/Портфель!B$36</f>
        <v>#DIV/0!</v>
      </c>
      <c r="C31" s="479" t="e">
        <f>Портфель!D31/Портфель!D$36</f>
        <v>#DIV/0!</v>
      </c>
      <c r="D31" s="479" t="e">
        <f>Портфель!F31/Портфель!F$36</f>
        <v>#DIV/0!</v>
      </c>
      <c r="E31" s="479" t="e">
        <f>Портфель!H31/Портфель!H$36</f>
        <v>#DIV/0!</v>
      </c>
      <c r="F31" s="479" t="e">
        <f>Портфель!J31/Портфель!J$36</f>
        <v>#DIV/0!</v>
      </c>
      <c r="G31" s="480" t="e">
        <f>Портфель!L31/Портфель!L$36</f>
        <v>#DIV/0!</v>
      </c>
    </row>
    <row r="32" spans="1:7" x14ac:dyDescent="0.2">
      <c r="A32" s="437" t="str">
        <f>IF(L!$B$249=1,L!B286,L!C286)</f>
        <v>Потребительские кредиты</v>
      </c>
      <c r="B32" s="481" t="e">
        <f>Портфель!B32/Портфель!B$36</f>
        <v>#DIV/0!</v>
      </c>
      <c r="C32" s="479" t="e">
        <f>Портфель!D32/Портфель!D$36</f>
        <v>#DIV/0!</v>
      </c>
      <c r="D32" s="479" t="e">
        <f>Портфель!F32/Портфель!F$36</f>
        <v>#DIV/0!</v>
      </c>
      <c r="E32" s="479" t="e">
        <f>Портфель!H32/Портфель!H$36</f>
        <v>#DIV/0!</v>
      </c>
      <c r="F32" s="479" t="e">
        <f>Портфель!J32/Портфель!J$36</f>
        <v>#DIV/0!</v>
      </c>
      <c r="G32" s="480" t="e">
        <f>Портфель!L32/Портфель!L$36</f>
        <v>#DIV/0!</v>
      </c>
    </row>
    <row r="33" spans="1:7" x14ac:dyDescent="0.2">
      <c r="A33" s="437" t="str">
        <f>IF(L!$B$249=1,L!B287,L!C287)</f>
        <v>Образование/Здоровье/Непредвиденные случаи</v>
      </c>
      <c r="B33" s="481" t="e">
        <f>Портфель!B33/Портфель!B$36</f>
        <v>#DIV/0!</v>
      </c>
      <c r="C33" s="479" t="e">
        <f>Портфель!D33/Портфель!D$36</f>
        <v>#DIV/0!</v>
      </c>
      <c r="D33" s="479" t="e">
        <f>Портфель!F33/Портфель!F$36</f>
        <v>#DIV/0!</v>
      </c>
      <c r="E33" s="479" t="e">
        <f>Портфель!H33/Портфель!H$36</f>
        <v>#DIV/0!</v>
      </c>
      <c r="F33" s="479" t="e">
        <f>Портфель!J33/Портфель!J$36</f>
        <v>#DIV/0!</v>
      </c>
      <c r="G33" s="480" t="e">
        <f>Портфель!L33/Портфель!L$36</f>
        <v>#DIV/0!</v>
      </c>
    </row>
    <row r="34" spans="1:7" x14ac:dyDescent="0.2">
      <c r="A34" s="437" t="str">
        <f>IF(L!$B$249=1,L!B288,L!C288)</f>
        <v>Сферауслуг</v>
      </c>
      <c r="B34" s="481" t="e">
        <f>Портфель!B34/Портфель!B$36</f>
        <v>#DIV/0!</v>
      </c>
      <c r="C34" s="479" t="e">
        <f>Портфель!D34/Портфель!D$36</f>
        <v>#DIV/0!</v>
      </c>
      <c r="D34" s="479" t="e">
        <f>Портфель!F34/Портфель!F$36</f>
        <v>#DIV/0!</v>
      </c>
      <c r="E34" s="479" t="e">
        <f>Портфель!H34/Портфель!H$36</f>
        <v>#DIV/0!</v>
      </c>
      <c r="F34" s="479" t="e">
        <f>Портфель!J34/Портфель!J$36</f>
        <v>#DIV/0!</v>
      </c>
      <c r="G34" s="480" t="e">
        <f>Портфель!L34/Портфель!L$36</f>
        <v>#DIV/0!</v>
      </c>
    </row>
    <row r="35" spans="1:7" x14ac:dyDescent="0.2">
      <c r="A35" s="437" t="str">
        <f>IF(L!$B$249=1,L!B289,L!C289)</f>
        <v>Прочее</v>
      </c>
      <c r="B35" s="481" t="e">
        <f>Портфель!B35/Портфель!B$36</f>
        <v>#DIV/0!</v>
      </c>
      <c r="C35" s="479" t="e">
        <f>Портфель!D35/Портфель!D$36</f>
        <v>#DIV/0!</v>
      </c>
      <c r="D35" s="479" t="e">
        <f>Портфель!F35/Портфель!F$36</f>
        <v>#DIV/0!</v>
      </c>
      <c r="E35" s="479" t="e">
        <f>Портфель!H35/Портфель!H$36</f>
        <v>#DIV/0!</v>
      </c>
      <c r="F35" s="479" t="e">
        <f>Портфель!J35/Портфель!J$36</f>
        <v>#DIV/0!</v>
      </c>
      <c r="G35" s="480" t="e">
        <f>Портфель!L35/Портфель!L$36</f>
        <v>#DIV/0!</v>
      </c>
    </row>
    <row r="36" spans="1:7" ht="12" thickBot="1" x14ac:dyDescent="0.25">
      <c r="A36" s="438" t="str">
        <f>IF(L!$B$249=1,L!B290,L!C290)</f>
        <v>ИТОГО</v>
      </c>
      <c r="B36" s="439" t="e">
        <f t="shared" ref="B36:G36" si="4">SUM(B26:B35)</f>
        <v>#DIV/0!</v>
      </c>
      <c r="C36" s="439" t="e">
        <f t="shared" si="4"/>
        <v>#DIV/0!</v>
      </c>
      <c r="D36" s="439" t="e">
        <f t="shared" si="4"/>
        <v>#DIV/0!</v>
      </c>
      <c r="E36" s="439" t="e">
        <f t="shared" si="4"/>
        <v>#DIV/0!</v>
      </c>
      <c r="F36" s="439" t="e">
        <f t="shared" si="4"/>
        <v>#DIV/0!</v>
      </c>
      <c r="G36" s="440" t="e">
        <f t="shared" si="4"/>
        <v>#DIV/0!</v>
      </c>
    </row>
    <row r="37" spans="1:7" ht="12" thickBot="1" x14ac:dyDescent="0.25">
      <c r="A37" s="390"/>
      <c r="B37" s="388"/>
      <c r="C37" s="388"/>
      <c r="D37" s="388"/>
      <c r="E37" s="388"/>
      <c r="F37" s="388"/>
      <c r="G37" s="388"/>
    </row>
    <row r="38" spans="1:7" x14ac:dyDescent="0.2">
      <c r="A38" s="441"/>
      <c r="B38" s="430" t="str">
        <f t="shared" ref="B38:G39" si="5">B24</f>
        <v/>
      </c>
      <c r="C38" s="430" t="str">
        <f t="shared" si="5"/>
        <v/>
      </c>
      <c r="D38" s="430" t="str">
        <f t="shared" si="5"/>
        <v/>
      </c>
      <c r="E38" s="430" t="str">
        <f t="shared" si="5"/>
        <v/>
      </c>
      <c r="F38" s="430" t="str">
        <f t="shared" si="5"/>
        <v/>
      </c>
      <c r="G38" s="431">
        <f t="shared" si="5"/>
        <v>0</v>
      </c>
    </row>
    <row r="39" spans="1:7" ht="33.75" x14ac:dyDescent="0.2">
      <c r="A39" s="436" t="str">
        <f>IF(L!$B$249=1,L!B292,L!C292)</f>
        <v xml:space="preserve"> IV. Объем кредитного портфеля в разрезе размеров кредитов (эквивалент в нац. валюте):</v>
      </c>
      <c r="B39" s="385" t="str">
        <f t="shared" si="5"/>
        <v>Доля (сумма)</v>
      </c>
      <c r="C39" s="385" t="str">
        <f t="shared" si="5"/>
        <v>Доля (сумма)</v>
      </c>
      <c r="D39" s="385" t="str">
        <f t="shared" si="5"/>
        <v>Доля (сумма)</v>
      </c>
      <c r="E39" s="385" t="str">
        <f t="shared" si="5"/>
        <v>Доля (сумма)</v>
      </c>
      <c r="F39" s="385" t="str">
        <f t="shared" si="5"/>
        <v>Доля (сумма)</v>
      </c>
      <c r="G39" s="224" t="str">
        <f t="shared" si="5"/>
        <v>Доля (сумма)</v>
      </c>
    </row>
    <row r="40" spans="1:7" x14ac:dyDescent="0.2">
      <c r="A40" s="437" t="str">
        <f>IF(L!$B$249=1,L!B293,L!C293)</f>
        <v>менее 500 долл.США</v>
      </c>
      <c r="B40" s="482" t="e">
        <f>Портфель!B40/Портфель!B$45</f>
        <v>#DIV/0!</v>
      </c>
      <c r="C40" s="482" t="e">
        <f>Портфель!D40/Портфель!D$45</f>
        <v>#DIV/0!</v>
      </c>
      <c r="D40" s="482" t="e">
        <f>Портфель!F40/Портфель!F$45</f>
        <v>#DIV/0!</v>
      </c>
      <c r="E40" s="482" t="e">
        <f>Портфель!H40/Портфель!H$45</f>
        <v>#DIV/0!</v>
      </c>
      <c r="F40" s="482" t="e">
        <f>Портфель!J40/Портфель!J$45</f>
        <v>#DIV/0!</v>
      </c>
      <c r="G40" s="483" t="e">
        <f>Портфель!L40/Портфель!L$45</f>
        <v>#DIV/0!</v>
      </c>
    </row>
    <row r="41" spans="1:7" x14ac:dyDescent="0.2">
      <c r="A41" s="437" t="str">
        <f>IF(L!$B$249=1,L!B294,L!C294)</f>
        <v>от 501 - 1000 долл.США</v>
      </c>
      <c r="B41" s="482" t="e">
        <f>Портфель!B41/Портфель!B$45</f>
        <v>#DIV/0!</v>
      </c>
      <c r="C41" s="482" t="e">
        <f>Портфель!D41/Портфель!D$45</f>
        <v>#DIV/0!</v>
      </c>
      <c r="D41" s="482" t="e">
        <f>Портфель!F41/Портфель!F$45</f>
        <v>#DIV/0!</v>
      </c>
      <c r="E41" s="482" t="e">
        <f>Портфель!H41/Портфель!H$45</f>
        <v>#DIV/0!</v>
      </c>
      <c r="F41" s="482" t="e">
        <f>Портфель!J41/Портфель!J$45</f>
        <v>#DIV/0!</v>
      </c>
      <c r="G41" s="483" t="e">
        <f>Портфель!L41/Портфель!L$45</f>
        <v>#DIV/0!</v>
      </c>
    </row>
    <row r="42" spans="1:7" x14ac:dyDescent="0.2">
      <c r="A42" s="437" t="str">
        <f>IF(L!$B$249=1,L!B295,L!C295)</f>
        <v>от 1001 - 5000 долл.США</v>
      </c>
      <c r="B42" s="482" t="e">
        <f>Портфель!B42/Портфель!B$45</f>
        <v>#DIV/0!</v>
      </c>
      <c r="C42" s="482" t="e">
        <f>Портфель!D42/Портфель!D$45</f>
        <v>#DIV/0!</v>
      </c>
      <c r="D42" s="482" t="e">
        <f>Портфель!F42/Портфель!F$45</f>
        <v>#DIV/0!</v>
      </c>
      <c r="E42" s="482" t="e">
        <f>Портфель!H42/Портфель!H$45</f>
        <v>#DIV/0!</v>
      </c>
      <c r="F42" s="482" t="e">
        <f>Портфель!J42/Портфель!J$45</f>
        <v>#DIV/0!</v>
      </c>
      <c r="G42" s="483" t="e">
        <f>Портфель!L42/Портфель!L$45</f>
        <v>#DIV/0!</v>
      </c>
    </row>
    <row r="43" spans="1:7" x14ac:dyDescent="0.2">
      <c r="A43" s="437" t="str">
        <f>IF(L!$B$249=1,L!B296,L!C296)</f>
        <v>от 5001 - 10000 долл.США</v>
      </c>
      <c r="B43" s="482" t="e">
        <f>Портфель!B43/Портфель!B$45</f>
        <v>#DIV/0!</v>
      </c>
      <c r="C43" s="482" t="e">
        <f>Портфель!D43/Портфель!D$45</f>
        <v>#DIV/0!</v>
      </c>
      <c r="D43" s="482" t="e">
        <f>Портфель!F43/Портфель!F$45</f>
        <v>#DIV/0!</v>
      </c>
      <c r="E43" s="482" t="e">
        <f>Портфель!H43/Портфель!H$45</f>
        <v>#DIV/0!</v>
      </c>
      <c r="F43" s="482" t="e">
        <f>Портфель!J43/Портфель!J$45</f>
        <v>#DIV/0!</v>
      </c>
      <c r="G43" s="483" t="e">
        <f>Портфель!L43/Портфель!L$45</f>
        <v>#DIV/0!</v>
      </c>
    </row>
    <row r="44" spans="1:7" x14ac:dyDescent="0.2">
      <c r="A44" s="437" t="str">
        <f>IF(L!$B$249=1,L!B297,L!C297)</f>
        <v>более 10000 долл.США</v>
      </c>
      <c r="B44" s="482" t="e">
        <f>Портфель!B44/Портфель!B$45</f>
        <v>#DIV/0!</v>
      </c>
      <c r="C44" s="482" t="e">
        <f>Портфель!D44/Портфель!D$45</f>
        <v>#DIV/0!</v>
      </c>
      <c r="D44" s="482" t="e">
        <f>Портфель!F44/Портфель!F$45</f>
        <v>#DIV/0!</v>
      </c>
      <c r="E44" s="482" t="e">
        <f>Портфель!H44/Портфель!H$45</f>
        <v>#DIV/0!</v>
      </c>
      <c r="F44" s="482" t="e">
        <f>Портфель!J44/Портфель!J$45</f>
        <v>#DIV/0!</v>
      </c>
      <c r="G44" s="483" t="e">
        <f>Портфель!L44/Портфель!L$45</f>
        <v>#DIV/0!</v>
      </c>
    </row>
    <row r="45" spans="1:7" ht="12" thickBot="1" x14ac:dyDescent="0.25">
      <c r="A45" s="438" t="str">
        <f>IF(L!$B$249=1,L!B298,L!C298)</f>
        <v>ИТОГО</v>
      </c>
      <c r="B45" s="439" t="e">
        <f t="shared" ref="B45:G45" si="6">SUM(B40:B44)</f>
        <v>#DIV/0!</v>
      </c>
      <c r="C45" s="439" t="e">
        <f t="shared" si="6"/>
        <v>#DIV/0!</v>
      </c>
      <c r="D45" s="439" t="e">
        <f t="shared" si="6"/>
        <v>#DIV/0!</v>
      </c>
      <c r="E45" s="439" t="e">
        <f t="shared" si="6"/>
        <v>#DIV/0!</v>
      </c>
      <c r="F45" s="439" t="e">
        <f t="shared" si="6"/>
        <v>#DIV/0!</v>
      </c>
      <c r="G45" s="440" t="e">
        <f t="shared" si="6"/>
        <v>#DIV/0!</v>
      </c>
    </row>
    <row r="46" spans="1:7" ht="12" thickBot="1" x14ac:dyDescent="0.25">
      <c r="A46" s="390"/>
      <c r="B46" s="388"/>
      <c r="C46" s="388"/>
      <c r="D46" s="388"/>
      <c r="E46" s="388"/>
      <c r="F46" s="388"/>
      <c r="G46" s="388"/>
    </row>
    <row r="47" spans="1:7" x14ac:dyDescent="0.2">
      <c r="A47" s="441"/>
      <c r="B47" s="430" t="str">
        <f t="shared" ref="B47:G48" si="7">B38</f>
        <v/>
      </c>
      <c r="C47" s="430" t="str">
        <f t="shared" si="7"/>
        <v/>
      </c>
      <c r="D47" s="430" t="str">
        <f t="shared" si="7"/>
        <v/>
      </c>
      <c r="E47" s="430" t="str">
        <f t="shared" si="7"/>
        <v/>
      </c>
      <c r="F47" s="430" t="str">
        <f t="shared" si="7"/>
        <v/>
      </c>
      <c r="G47" s="431">
        <f t="shared" si="7"/>
        <v>0</v>
      </c>
    </row>
    <row r="48" spans="1:7" ht="22.5" x14ac:dyDescent="0.2">
      <c r="A48" s="432" t="str">
        <f>IF(L!$B$249=1,L!B300,L!C300)</f>
        <v>V. Объем кредитного портфеля в разрезе сроков кредитования  </v>
      </c>
      <c r="B48" s="385" t="str">
        <f t="shared" si="7"/>
        <v>Доля (сумма)</v>
      </c>
      <c r="C48" s="385" t="str">
        <f t="shared" si="7"/>
        <v>Доля (сумма)</v>
      </c>
      <c r="D48" s="385" t="str">
        <f t="shared" si="7"/>
        <v>Доля (сумма)</v>
      </c>
      <c r="E48" s="385" t="str">
        <f t="shared" si="7"/>
        <v>Доля (сумма)</v>
      </c>
      <c r="F48" s="385" t="str">
        <f t="shared" si="7"/>
        <v>Доля (сумма)</v>
      </c>
      <c r="G48" s="224" t="str">
        <f t="shared" si="7"/>
        <v>Доля (сумма)</v>
      </c>
    </row>
    <row r="49" spans="1:7" x14ac:dyDescent="0.2">
      <c r="A49" s="437" t="str">
        <f>IF(L!$B$249=1,L!B301,L!C301)</f>
        <v>менее 3 месяцев</v>
      </c>
      <c r="B49" s="479" t="e">
        <f>Портфель!B49/Портфель!B$55</f>
        <v>#DIV/0!</v>
      </c>
      <c r="C49" s="479" t="e">
        <f>Портфель!D49/Портфель!D$55</f>
        <v>#DIV/0!</v>
      </c>
      <c r="D49" s="479" t="e">
        <f>Портфель!F49/Портфель!F$55</f>
        <v>#DIV/0!</v>
      </c>
      <c r="E49" s="479" t="e">
        <f>Портфель!H49/Портфель!H$55</f>
        <v>#DIV/0!</v>
      </c>
      <c r="F49" s="479" t="e">
        <f>Портфель!J49/Портфель!J$55</f>
        <v>#DIV/0!</v>
      </c>
      <c r="G49" s="480" t="e">
        <f>Портфель!L49/Портфель!L$55</f>
        <v>#DIV/0!</v>
      </c>
    </row>
    <row r="50" spans="1:7" x14ac:dyDescent="0.2">
      <c r="A50" s="437" t="str">
        <f>IF(L!$B$249=1,L!B302,L!C302)</f>
        <v>от 3-6 месяцев</v>
      </c>
      <c r="B50" s="479" t="e">
        <f>Портфель!B50/Портфель!B$55</f>
        <v>#DIV/0!</v>
      </c>
      <c r="C50" s="479" t="e">
        <f>Портфель!D50/Портфель!D$55</f>
        <v>#DIV/0!</v>
      </c>
      <c r="D50" s="479" t="e">
        <f>Портфель!F50/Портфель!F$55</f>
        <v>#DIV/0!</v>
      </c>
      <c r="E50" s="479" t="e">
        <f>Портфель!H50/Портфель!H$55</f>
        <v>#DIV/0!</v>
      </c>
      <c r="F50" s="479" t="e">
        <f>Портфель!J50/Портфель!J$55</f>
        <v>#DIV/0!</v>
      </c>
      <c r="G50" s="480" t="e">
        <f>Портфель!L50/Портфель!L$55</f>
        <v>#DIV/0!</v>
      </c>
    </row>
    <row r="51" spans="1:7" x14ac:dyDescent="0.2">
      <c r="A51" s="437" t="str">
        <f>IF(L!$B$249=1,L!B303,L!C303)</f>
        <v>от 6-12 месяцев</v>
      </c>
      <c r="B51" s="479" t="e">
        <f>Портфель!B51/Портфель!B$55</f>
        <v>#DIV/0!</v>
      </c>
      <c r="C51" s="479" t="e">
        <f>Портфель!D51/Портфель!D$55</f>
        <v>#DIV/0!</v>
      </c>
      <c r="D51" s="479" t="e">
        <f>Портфель!F51/Портфель!F$55</f>
        <v>#DIV/0!</v>
      </c>
      <c r="E51" s="479" t="e">
        <f>Портфель!H51/Портфель!H$55</f>
        <v>#DIV/0!</v>
      </c>
      <c r="F51" s="479" t="e">
        <f>Портфель!J51/Портфель!J$55</f>
        <v>#DIV/0!</v>
      </c>
      <c r="G51" s="480" t="e">
        <f>Портфель!L51/Портфель!L$55</f>
        <v>#DIV/0!</v>
      </c>
    </row>
    <row r="52" spans="1:7" x14ac:dyDescent="0.2">
      <c r="A52" s="437" t="str">
        <f>IF(L!$B$249=1,L!B304,L!C304)</f>
        <v>от 12-24 месяцев</v>
      </c>
      <c r="B52" s="479" t="e">
        <f>Портфель!B52/Портфель!B$55</f>
        <v>#DIV/0!</v>
      </c>
      <c r="C52" s="479" t="e">
        <f>Портфель!D52/Портфель!D$55</f>
        <v>#DIV/0!</v>
      </c>
      <c r="D52" s="479" t="e">
        <f>Портфель!F52/Портфель!F$55</f>
        <v>#DIV/0!</v>
      </c>
      <c r="E52" s="479" t="e">
        <f>Портфель!H52/Портфель!H$55</f>
        <v>#DIV/0!</v>
      </c>
      <c r="F52" s="479" t="e">
        <f>Портфель!J52/Портфель!J$55</f>
        <v>#DIV/0!</v>
      </c>
      <c r="G52" s="480" t="e">
        <f>Портфель!L52/Портфель!L$55</f>
        <v>#DIV/0!</v>
      </c>
    </row>
    <row r="53" spans="1:7" x14ac:dyDescent="0.2">
      <c r="A53" s="437" t="str">
        <f>IF(L!$B$249=1,L!B305,L!C305)</f>
        <v>от 24-36 месяцев</v>
      </c>
      <c r="B53" s="479" t="e">
        <f>Портфель!B53/Портфель!B$55</f>
        <v>#DIV/0!</v>
      </c>
      <c r="C53" s="479" t="e">
        <f>Портфель!D53/Портфель!D$55</f>
        <v>#DIV/0!</v>
      </c>
      <c r="D53" s="479" t="e">
        <f>Портфель!F53/Портфель!F$55</f>
        <v>#DIV/0!</v>
      </c>
      <c r="E53" s="479" t="e">
        <f>Портфель!H53/Портфель!H$55</f>
        <v>#DIV/0!</v>
      </c>
      <c r="F53" s="479" t="e">
        <f>Портфель!J53/Портфель!J$55</f>
        <v>#DIV/0!</v>
      </c>
      <c r="G53" s="480" t="e">
        <f>Портфель!L53/Портфель!L$55</f>
        <v>#DIV/0!</v>
      </c>
    </row>
    <row r="54" spans="1:7" x14ac:dyDescent="0.2">
      <c r="A54" s="437" t="str">
        <f>IF(L!$B$249=1,L!B306,L!C306)</f>
        <v>более 36 месяцев</v>
      </c>
      <c r="B54" s="479" t="e">
        <f>Портфель!B54/Портфель!B$55</f>
        <v>#DIV/0!</v>
      </c>
      <c r="C54" s="479" t="e">
        <f>Портфель!D54/Портфель!D$55</f>
        <v>#DIV/0!</v>
      </c>
      <c r="D54" s="479" t="e">
        <f>Портфель!F54/Портфель!F$55</f>
        <v>#DIV/0!</v>
      </c>
      <c r="E54" s="479" t="e">
        <f>Портфель!H54/Портфель!H$55</f>
        <v>#DIV/0!</v>
      </c>
      <c r="F54" s="479" t="e">
        <f>Портфель!J54/Портфель!J$55</f>
        <v>#DIV/0!</v>
      </c>
      <c r="G54" s="480" t="e">
        <f>Портфель!L54/Портфель!L$55</f>
        <v>#DIV/0!</v>
      </c>
    </row>
    <row r="55" spans="1:7" ht="12" thickBot="1" x14ac:dyDescent="0.25">
      <c r="A55" s="438" t="str">
        <f>IF(L!$B$249=1,L!B307,L!C307)</f>
        <v>ИТОГО</v>
      </c>
      <c r="B55" s="439" t="e">
        <f t="shared" ref="B55:G55" si="8">SUM(B49:B54)</f>
        <v>#DIV/0!</v>
      </c>
      <c r="C55" s="439" t="e">
        <f t="shared" si="8"/>
        <v>#DIV/0!</v>
      </c>
      <c r="D55" s="439" t="e">
        <f t="shared" si="8"/>
        <v>#DIV/0!</v>
      </c>
      <c r="E55" s="439" t="e">
        <f t="shared" si="8"/>
        <v>#DIV/0!</v>
      </c>
      <c r="F55" s="439" t="e">
        <f t="shared" si="8"/>
        <v>#DIV/0!</v>
      </c>
      <c r="G55" s="440" t="e">
        <f t="shared" si="8"/>
        <v>#DIV/0!</v>
      </c>
    </row>
    <row r="56" spans="1:7" ht="12" thickBot="1" x14ac:dyDescent="0.25">
      <c r="A56" s="390"/>
      <c r="B56" s="388"/>
      <c r="C56" s="388"/>
      <c r="D56" s="388"/>
      <c r="E56" s="388"/>
      <c r="F56" s="388"/>
      <c r="G56" s="388"/>
    </row>
    <row r="57" spans="1:7" x14ac:dyDescent="0.2">
      <c r="A57" s="441"/>
      <c r="B57" s="430" t="str">
        <f t="shared" ref="B57:G58" si="9">B47</f>
        <v/>
      </c>
      <c r="C57" s="430" t="str">
        <f t="shared" si="9"/>
        <v/>
      </c>
      <c r="D57" s="430" t="str">
        <f t="shared" si="9"/>
        <v/>
      </c>
      <c r="E57" s="430" t="str">
        <f t="shared" si="9"/>
        <v/>
      </c>
      <c r="F57" s="430" t="str">
        <f t="shared" si="9"/>
        <v/>
      </c>
      <c r="G57" s="431">
        <f t="shared" si="9"/>
        <v>0</v>
      </c>
    </row>
    <row r="58" spans="1:7" ht="22.5" x14ac:dyDescent="0.2">
      <c r="A58" s="432" t="str">
        <f>IF(L!$B$249=1,L!B309,L!C309)</f>
        <v>VI. Объем кредитного портфеля в разрезе обеспечения</v>
      </c>
      <c r="B58" s="385" t="str">
        <f t="shared" si="9"/>
        <v>Доля (сумма)</v>
      </c>
      <c r="C58" s="385" t="str">
        <f t="shared" si="9"/>
        <v>Доля (сумма)</v>
      </c>
      <c r="D58" s="385" t="str">
        <f t="shared" si="9"/>
        <v>Доля (сумма)</v>
      </c>
      <c r="E58" s="385" t="str">
        <f t="shared" si="9"/>
        <v>Доля (сумма)</v>
      </c>
      <c r="F58" s="385" t="str">
        <f t="shared" si="9"/>
        <v>Доля (сумма)</v>
      </c>
      <c r="G58" s="224" t="str">
        <f t="shared" si="9"/>
        <v>Доля (сумма)</v>
      </c>
    </row>
    <row r="59" spans="1:7" x14ac:dyDescent="0.2">
      <c r="A59" s="442" t="str">
        <f>IF(L!$B$249=1,L!B310,L!C310)</f>
        <v>Кредиты под залог недвижимости</v>
      </c>
      <c r="B59" s="477" t="e">
        <f>Портфель!B59/Портфель!B$63</f>
        <v>#DIV/0!</v>
      </c>
      <c r="C59" s="477" t="e">
        <f>Портфель!D59/Портфель!D$63</f>
        <v>#DIV/0!</v>
      </c>
      <c r="D59" s="477" t="e">
        <f>Портфель!F59/Портфель!F$63</f>
        <v>#DIV/0!</v>
      </c>
      <c r="E59" s="477" t="e">
        <f>Портфель!H59/Портфель!H$63</f>
        <v>#DIV/0!</v>
      </c>
      <c r="F59" s="477" t="e">
        <f>Портфель!J59/Портфель!J$63</f>
        <v>#DIV/0!</v>
      </c>
      <c r="G59" s="478" t="e">
        <f>Портфель!L59/Портфель!L$63</f>
        <v>#DIV/0!</v>
      </c>
    </row>
    <row r="60" spans="1:7" x14ac:dyDescent="0.2">
      <c r="A60" s="442" t="str">
        <f>IF(L!$B$249=1,L!B311,L!C311)</f>
        <v>Кредиты под залог движимого имущества</v>
      </c>
      <c r="B60" s="477" t="e">
        <f>Портфель!B60/Портфель!B$63</f>
        <v>#DIV/0!</v>
      </c>
      <c r="C60" s="477" t="e">
        <f>Портфель!D60/Портфель!D$63</f>
        <v>#DIV/0!</v>
      </c>
      <c r="D60" s="477" t="e">
        <f>Портфель!F60/Портфель!F$63</f>
        <v>#DIV/0!</v>
      </c>
      <c r="E60" s="477" t="e">
        <f>Портфель!H60/Портфель!H$63</f>
        <v>#DIV/0!</v>
      </c>
      <c r="F60" s="477" t="e">
        <f>Портфель!J60/Портфель!J$63</f>
        <v>#DIV/0!</v>
      </c>
      <c r="G60" s="478" t="e">
        <f>Портфель!L60/Портфель!L$63</f>
        <v>#DIV/0!</v>
      </c>
    </row>
    <row r="61" spans="1:7" x14ac:dyDescent="0.2">
      <c r="A61" s="442" t="str">
        <f>IF(L!$B$249=1,L!B312,L!C312)</f>
        <v>Кредиты под залог гарантий/поручительств</v>
      </c>
      <c r="B61" s="477" t="e">
        <f>Портфель!B61/Портфель!B$63</f>
        <v>#DIV/0!</v>
      </c>
      <c r="C61" s="477" t="e">
        <f>Портфель!D61/Портфель!D$63</f>
        <v>#DIV/0!</v>
      </c>
      <c r="D61" s="477" t="e">
        <f>Портфель!F61/Портфель!F$63</f>
        <v>#DIV/0!</v>
      </c>
      <c r="E61" s="477" t="e">
        <f>Портфель!H61/Портфель!H$63</f>
        <v>#DIV/0!</v>
      </c>
      <c r="F61" s="477" t="e">
        <f>Портфель!J61/Портфель!J$63</f>
        <v>#DIV/0!</v>
      </c>
      <c r="G61" s="478" t="e">
        <f>Портфель!L61/Портфель!L$63</f>
        <v>#DIV/0!</v>
      </c>
    </row>
    <row r="62" spans="1:7" x14ac:dyDescent="0.2">
      <c r="A62" s="442" t="str">
        <f>IF(L!$B$249=1,L!B313,L!C313)</f>
        <v>Беззалоговые кредиты</v>
      </c>
      <c r="B62" s="477" t="e">
        <f>Портфель!B62/Портфель!B$63</f>
        <v>#DIV/0!</v>
      </c>
      <c r="C62" s="477" t="e">
        <f>Портфель!D62/Портфель!D$63</f>
        <v>#DIV/0!</v>
      </c>
      <c r="D62" s="477" t="e">
        <f>Портфель!F62/Портфель!F$63</f>
        <v>#DIV/0!</v>
      </c>
      <c r="E62" s="477" t="e">
        <f>Портфель!H62/Портфель!H$63</f>
        <v>#DIV/0!</v>
      </c>
      <c r="F62" s="477" t="e">
        <f>Портфель!J62/Портфель!J$63</f>
        <v>#DIV/0!</v>
      </c>
      <c r="G62" s="478" t="e">
        <f>Портфель!L62/Портфель!L$63</f>
        <v>#DIV/0!</v>
      </c>
    </row>
    <row r="63" spans="1:7" s="383" customFormat="1" ht="12" thickBot="1" x14ac:dyDescent="0.25">
      <c r="A63" s="443" t="str">
        <f>IF(L!$B$249=1,L!B314,L!C314)</f>
        <v>ИТОГО</v>
      </c>
      <c r="B63" s="434" t="e">
        <f t="shared" ref="B63:G63" si="10">SUM(B59:B62)</f>
        <v>#DIV/0!</v>
      </c>
      <c r="C63" s="434" t="e">
        <f t="shared" si="10"/>
        <v>#DIV/0!</v>
      </c>
      <c r="D63" s="434" t="e">
        <f t="shared" si="10"/>
        <v>#DIV/0!</v>
      </c>
      <c r="E63" s="434" t="e">
        <f t="shared" si="10"/>
        <v>#DIV/0!</v>
      </c>
      <c r="F63" s="434" t="e">
        <f t="shared" si="10"/>
        <v>#DIV/0!</v>
      </c>
      <c r="G63" s="435" t="e">
        <f t="shared" si="10"/>
        <v>#DIV/0!</v>
      </c>
    </row>
    <row r="64" spans="1:7" ht="12" thickBot="1" x14ac:dyDescent="0.25">
      <c r="A64" s="390"/>
      <c r="B64" s="388"/>
      <c r="C64" s="388"/>
      <c r="D64" s="388"/>
      <c r="E64" s="388"/>
      <c r="F64" s="388"/>
      <c r="G64" s="388"/>
    </row>
    <row r="65" spans="1:7" x14ac:dyDescent="0.2">
      <c r="A65" s="1106" t="str">
        <f>IF(L!$B$249=1,L!B316,L!C316)</f>
        <v>VII. Объем кредитного портфеля в разрезе филиалов</v>
      </c>
      <c r="B65" s="430" t="str">
        <f t="shared" ref="B65:G66" si="11">B57</f>
        <v/>
      </c>
      <c r="C65" s="430" t="str">
        <f t="shared" si="11"/>
        <v/>
      </c>
      <c r="D65" s="430" t="str">
        <f t="shared" si="11"/>
        <v/>
      </c>
      <c r="E65" s="430" t="str">
        <f t="shared" si="11"/>
        <v/>
      </c>
      <c r="F65" s="430" t="str">
        <f t="shared" si="11"/>
        <v/>
      </c>
      <c r="G65" s="431">
        <f t="shared" si="11"/>
        <v>0</v>
      </c>
    </row>
    <row r="66" spans="1:7" x14ac:dyDescent="0.2">
      <c r="A66" s="1107"/>
      <c r="B66" s="385" t="str">
        <f t="shared" si="11"/>
        <v>Доля (сумма)</v>
      </c>
      <c r="C66" s="385" t="str">
        <f t="shared" si="11"/>
        <v>Доля (сумма)</v>
      </c>
      <c r="D66" s="385" t="str">
        <f t="shared" si="11"/>
        <v>Доля (сумма)</v>
      </c>
      <c r="E66" s="385" t="str">
        <f t="shared" si="11"/>
        <v>Доля (сумма)</v>
      </c>
      <c r="F66" s="385" t="str">
        <f t="shared" si="11"/>
        <v>Доля (сумма)</v>
      </c>
      <c r="G66" s="224" t="str">
        <f t="shared" si="11"/>
        <v>Доля (сумма)</v>
      </c>
    </row>
    <row r="67" spans="1:7" x14ac:dyDescent="0.2">
      <c r="A67" s="484" t="str">
        <f>Портфель!A67</f>
        <v>Бишкекский филиал</v>
      </c>
      <c r="B67" s="477" t="e">
        <f>Портфель!B67/Портфель!B$86</f>
        <v>#DIV/0!</v>
      </c>
      <c r="C67" s="477" t="e">
        <f>Портфель!D67/Портфель!D$86</f>
        <v>#DIV/0!</v>
      </c>
      <c r="D67" s="477" t="e">
        <f>Портфель!F67/Портфель!F$86</f>
        <v>#DIV/0!</v>
      </c>
      <c r="E67" s="477" t="e">
        <f>Портфель!H67/Портфель!H$86</f>
        <v>#DIV/0!</v>
      </c>
      <c r="F67" s="477" t="e">
        <f>Портфель!J67/Портфель!J$86</f>
        <v>#DIV/0!</v>
      </c>
      <c r="G67" s="478" t="e">
        <f>Портфель!L67/Портфель!L$86</f>
        <v>#DIV/0!</v>
      </c>
    </row>
    <row r="68" spans="1:7" x14ac:dyDescent="0.2">
      <c r="A68" s="484" t="str">
        <f>Портфель!A68</f>
        <v>Сокулукский филиал</v>
      </c>
      <c r="B68" s="477" t="e">
        <f>Портфель!B68/Портфель!B$86</f>
        <v>#DIV/0!</v>
      </c>
      <c r="C68" s="477" t="e">
        <f>Портфель!D68/Портфель!D$86</f>
        <v>#DIV/0!</v>
      </c>
      <c r="D68" s="477" t="e">
        <f>Портфель!F68/Портфель!F$86</f>
        <v>#DIV/0!</v>
      </c>
      <c r="E68" s="477" t="e">
        <f>Портфель!H68/Портфель!H$86</f>
        <v>#DIV/0!</v>
      </c>
      <c r="F68" s="477" t="e">
        <f>Портфель!J68/Портфель!J$86</f>
        <v>#DIV/0!</v>
      </c>
      <c r="G68" s="478" t="e">
        <f>Портфель!L68/Портфель!L$86</f>
        <v>#DIV/0!</v>
      </c>
    </row>
    <row r="69" spans="1:7" x14ac:dyDescent="0.2">
      <c r="A69" s="484" t="str">
        <f>Портфель!A69</f>
        <v>Кантский филиал</v>
      </c>
      <c r="B69" s="477" t="e">
        <f>Портфель!B69/Портфель!B$86</f>
        <v>#DIV/0!</v>
      </c>
      <c r="C69" s="477" t="e">
        <f>Портфель!D69/Портфель!D$86</f>
        <v>#DIV/0!</v>
      </c>
      <c r="D69" s="477" t="e">
        <f>Портфель!F69/Портфель!F$86</f>
        <v>#DIV/0!</v>
      </c>
      <c r="E69" s="477" t="e">
        <f>Портфель!H69/Портфель!H$86</f>
        <v>#DIV/0!</v>
      </c>
      <c r="F69" s="477" t="e">
        <f>Портфель!J69/Портфель!J$86</f>
        <v>#DIV/0!</v>
      </c>
      <c r="G69" s="478" t="e">
        <f>Портфель!L69/Портфель!L$86</f>
        <v>#DIV/0!</v>
      </c>
    </row>
    <row r="70" spans="1:7" x14ac:dyDescent="0.2">
      <c r="A70" s="484" t="str">
        <f>Портфель!A70</f>
        <v>Карабалтинский филиал</v>
      </c>
      <c r="B70" s="477" t="e">
        <f>Портфель!B70/Портфель!B$86</f>
        <v>#DIV/0!</v>
      </c>
      <c r="C70" s="477" t="e">
        <f>Портфель!D70/Портфель!D$86</f>
        <v>#DIV/0!</v>
      </c>
      <c r="D70" s="477" t="e">
        <f>Портфель!F70/Портфель!F$86</f>
        <v>#DIV/0!</v>
      </c>
      <c r="E70" s="477" t="e">
        <f>Портфель!H70/Портфель!H$86</f>
        <v>#DIV/0!</v>
      </c>
      <c r="F70" s="477" t="e">
        <f>Портфель!J70/Портфель!J$86</f>
        <v>#DIV/0!</v>
      </c>
      <c r="G70" s="478" t="e">
        <f>Портфель!L70/Портфель!L$86</f>
        <v>#DIV/0!</v>
      </c>
    </row>
    <row r="71" spans="1:7" x14ac:dyDescent="0.2">
      <c r="A71" s="484" t="str">
        <f>Портфель!A71</f>
        <v>Токмокский филиал</v>
      </c>
      <c r="B71" s="477" t="e">
        <f>Портфель!B71/Портфель!B$86</f>
        <v>#DIV/0!</v>
      </c>
      <c r="C71" s="477" t="e">
        <f>Портфель!D71/Портфель!D$86</f>
        <v>#DIV/0!</v>
      </c>
      <c r="D71" s="477" t="e">
        <f>Портфель!F71/Портфель!F$86</f>
        <v>#DIV/0!</v>
      </c>
      <c r="E71" s="477" t="e">
        <f>Портфель!H71/Портфель!H$86</f>
        <v>#DIV/0!</v>
      </c>
      <c r="F71" s="477" t="e">
        <f>Портфель!J71/Портфель!J$86</f>
        <v>#DIV/0!</v>
      </c>
      <c r="G71" s="478" t="e">
        <f>Портфель!L71/Портфель!L$86</f>
        <v>#DIV/0!</v>
      </c>
    </row>
    <row r="72" spans="1:7" x14ac:dyDescent="0.2">
      <c r="A72" s="484" t="str">
        <f>Портфель!A72</f>
        <v>Ошский филиал</v>
      </c>
      <c r="B72" s="477" t="e">
        <f>Портфель!B72/Портфель!B$86</f>
        <v>#DIV/0!</v>
      </c>
      <c r="C72" s="477" t="e">
        <f>Портфель!D72/Портфель!D$86</f>
        <v>#DIV/0!</v>
      </c>
      <c r="D72" s="477" t="e">
        <f>Портфель!F72/Портфель!F$86</f>
        <v>#DIV/0!</v>
      </c>
      <c r="E72" s="477" t="e">
        <f>Портфель!H72/Портфель!H$86</f>
        <v>#DIV/0!</v>
      </c>
      <c r="F72" s="477" t="e">
        <f>Портфель!J72/Портфель!J$86</f>
        <v>#DIV/0!</v>
      </c>
      <c r="G72" s="478" t="e">
        <f>Портфель!L72/Портфель!L$86</f>
        <v>#DIV/0!</v>
      </c>
    </row>
    <row r="73" spans="1:7" x14ac:dyDescent="0.2">
      <c r="A73" s="484" t="str">
        <f>Портфель!A73</f>
        <v>Нарынский филиал</v>
      </c>
      <c r="B73" s="477" t="e">
        <f>Портфель!B73/Портфель!B$86</f>
        <v>#DIV/0!</v>
      </c>
      <c r="C73" s="477" t="e">
        <f>Портфель!D73/Портфель!D$86</f>
        <v>#DIV/0!</v>
      </c>
      <c r="D73" s="477" t="e">
        <f>Портфель!F73/Портфель!F$86</f>
        <v>#DIV/0!</v>
      </c>
      <c r="E73" s="477" t="e">
        <f>Портфель!H73/Портфель!H$86</f>
        <v>#DIV/0!</v>
      </c>
      <c r="F73" s="477" t="e">
        <f>Портфель!J73/Портфель!J$86</f>
        <v>#DIV/0!</v>
      </c>
      <c r="G73" s="478" t="e">
        <f>Портфель!L73/Портфель!L$86</f>
        <v>#DIV/0!</v>
      </c>
    </row>
    <row r="74" spans="1:7" x14ac:dyDescent="0.2">
      <c r="A74" s="484">
        <f>Портфель!A74</f>
        <v>0</v>
      </c>
      <c r="B74" s="477" t="e">
        <f>Портфель!B74/Портфель!B$86</f>
        <v>#DIV/0!</v>
      </c>
      <c r="C74" s="477" t="e">
        <f>Портфель!D74/Портфель!D$86</f>
        <v>#DIV/0!</v>
      </c>
      <c r="D74" s="477" t="e">
        <f>Портфель!F74/Портфель!F$86</f>
        <v>#DIV/0!</v>
      </c>
      <c r="E74" s="477" t="e">
        <f>Портфель!H74/Портфель!H$86</f>
        <v>#DIV/0!</v>
      </c>
      <c r="F74" s="477" t="e">
        <f>Портфель!J74/Портфель!J$86</f>
        <v>#DIV/0!</v>
      </c>
      <c r="G74" s="478" t="e">
        <f>Портфель!L74/Портфель!L$86</f>
        <v>#DIV/0!</v>
      </c>
    </row>
    <row r="75" spans="1:7" x14ac:dyDescent="0.2">
      <c r="A75" s="484">
        <f>Портфель!A75</f>
        <v>0</v>
      </c>
      <c r="B75" s="477" t="e">
        <f>Портфель!B75/Портфель!B$86</f>
        <v>#DIV/0!</v>
      </c>
      <c r="C75" s="477" t="e">
        <f>Портфель!D75/Портфель!D$86</f>
        <v>#DIV/0!</v>
      </c>
      <c r="D75" s="477" t="e">
        <f>Портфель!F75/Портфель!F$86</f>
        <v>#DIV/0!</v>
      </c>
      <c r="E75" s="477" t="e">
        <f>Портфель!H75/Портфель!H$86</f>
        <v>#DIV/0!</v>
      </c>
      <c r="F75" s="477" t="e">
        <f>Портфель!J75/Портфель!J$86</f>
        <v>#DIV/0!</v>
      </c>
      <c r="G75" s="478" t="e">
        <f>Портфель!L75/Портфель!L$86</f>
        <v>#DIV/0!</v>
      </c>
    </row>
    <row r="76" spans="1:7" x14ac:dyDescent="0.2">
      <c r="A76" s="484">
        <f>Портфель!A76</f>
        <v>0</v>
      </c>
      <c r="B76" s="477" t="e">
        <f>Портфель!B76/Портфель!B$86</f>
        <v>#DIV/0!</v>
      </c>
      <c r="C76" s="477" t="e">
        <f>Портфель!D76/Портфель!D$86</f>
        <v>#DIV/0!</v>
      </c>
      <c r="D76" s="477" t="e">
        <f>Портфель!F76/Портфель!F$86</f>
        <v>#DIV/0!</v>
      </c>
      <c r="E76" s="477" t="e">
        <f>Портфель!H76/Портфель!H$86</f>
        <v>#DIV/0!</v>
      </c>
      <c r="F76" s="477" t="e">
        <f>Портфель!J76/Портфель!J$86</f>
        <v>#DIV/0!</v>
      </c>
      <c r="G76" s="478" t="e">
        <f>Портфель!L76/Портфель!L$86</f>
        <v>#DIV/0!</v>
      </c>
    </row>
    <row r="77" spans="1:7" x14ac:dyDescent="0.2">
      <c r="A77" s="484">
        <f>Портфель!A77</f>
        <v>0</v>
      </c>
      <c r="B77" s="477" t="e">
        <f>Портфель!B77/Портфель!B$86</f>
        <v>#DIV/0!</v>
      </c>
      <c r="C77" s="477" t="e">
        <f>Портфель!D77/Портфель!D$86</f>
        <v>#DIV/0!</v>
      </c>
      <c r="D77" s="477" t="e">
        <f>Портфель!F77/Портфель!F$86</f>
        <v>#DIV/0!</v>
      </c>
      <c r="E77" s="477" t="e">
        <f>Портфель!H77/Портфель!H$86</f>
        <v>#DIV/0!</v>
      </c>
      <c r="F77" s="477" t="e">
        <f>Портфель!J77/Портфель!J$86</f>
        <v>#DIV/0!</v>
      </c>
      <c r="G77" s="478" t="e">
        <f>Портфель!L77/Портфель!L$86</f>
        <v>#DIV/0!</v>
      </c>
    </row>
    <row r="78" spans="1:7" x14ac:dyDescent="0.2">
      <c r="A78" s="484">
        <f>Портфель!A78</f>
        <v>0</v>
      </c>
      <c r="B78" s="477" t="e">
        <f>Портфель!B78/Портфель!B$86</f>
        <v>#DIV/0!</v>
      </c>
      <c r="C78" s="477" t="e">
        <f>Портфель!D78/Портфель!D$86</f>
        <v>#DIV/0!</v>
      </c>
      <c r="D78" s="477" t="e">
        <f>Портфель!F78/Портфель!F$86</f>
        <v>#DIV/0!</v>
      </c>
      <c r="E78" s="477" t="e">
        <f>Портфель!H78/Портфель!H$86</f>
        <v>#DIV/0!</v>
      </c>
      <c r="F78" s="477" t="e">
        <f>Портфель!J78/Портфель!J$86</f>
        <v>#DIV/0!</v>
      </c>
      <c r="G78" s="478" t="e">
        <f>Портфель!L78/Портфель!L$86</f>
        <v>#DIV/0!</v>
      </c>
    </row>
    <row r="79" spans="1:7" x14ac:dyDescent="0.2">
      <c r="A79" s="484">
        <f>Портфель!A79</f>
        <v>0</v>
      </c>
      <c r="B79" s="477" t="e">
        <f>Портфель!B79/Портфель!B$86</f>
        <v>#DIV/0!</v>
      </c>
      <c r="C79" s="477" t="e">
        <f>Портфель!D79/Портфель!D$86</f>
        <v>#DIV/0!</v>
      </c>
      <c r="D79" s="477" t="e">
        <f>Портфель!F79/Портфель!F$86</f>
        <v>#DIV/0!</v>
      </c>
      <c r="E79" s="477" t="e">
        <f>Портфель!H79/Портфель!H$86</f>
        <v>#DIV/0!</v>
      </c>
      <c r="F79" s="477" t="e">
        <f>Портфель!J79/Портфель!J$86</f>
        <v>#DIV/0!</v>
      </c>
      <c r="G79" s="478" t="e">
        <f>Портфель!L79/Портфель!L$86</f>
        <v>#DIV/0!</v>
      </c>
    </row>
    <row r="80" spans="1:7" x14ac:dyDescent="0.2">
      <c r="A80" s="484">
        <f>Портфель!A80</f>
        <v>0</v>
      </c>
      <c r="B80" s="477" t="e">
        <f>Портфель!B80/Портфель!B$86</f>
        <v>#DIV/0!</v>
      </c>
      <c r="C80" s="477" t="e">
        <f>Портфель!D80/Портфель!D$86</f>
        <v>#DIV/0!</v>
      </c>
      <c r="D80" s="477" t="e">
        <f>Портфель!F80/Портфель!F$86</f>
        <v>#DIV/0!</v>
      </c>
      <c r="E80" s="477" t="e">
        <f>Портфель!H80/Портфель!H$86</f>
        <v>#DIV/0!</v>
      </c>
      <c r="F80" s="477" t="e">
        <f>Портфель!J80/Портфель!J$86</f>
        <v>#DIV/0!</v>
      </c>
      <c r="G80" s="478" t="e">
        <f>Портфель!L80/Портфель!L$86</f>
        <v>#DIV/0!</v>
      </c>
    </row>
    <row r="81" spans="1:7" x14ac:dyDescent="0.2">
      <c r="A81" s="484">
        <f>Портфель!A81</f>
        <v>0</v>
      </c>
      <c r="B81" s="477" t="e">
        <f>Портфель!B81/Портфель!B$86</f>
        <v>#DIV/0!</v>
      </c>
      <c r="C81" s="477" t="e">
        <f>Портфель!D81/Портфель!D$86</f>
        <v>#DIV/0!</v>
      </c>
      <c r="D81" s="477" t="e">
        <f>Портфель!F81/Портфель!F$86</f>
        <v>#DIV/0!</v>
      </c>
      <c r="E81" s="477" t="e">
        <f>Портфель!H81/Портфель!H$86</f>
        <v>#DIV/0!</v>
      </c>
      <c r="F81" s="477" t="e">
        <f>Портфель!J81/Портфель!J$86</f>
        <v>#DIV/0!</v>
      </c>
      <c r="G81" s="478" t="e">
        <f>Портфель!L81/Портфель!L$86</f>
        <v>#DIV/0!</v>
      </c>
    </row>
    <row r="82" spans="1:7" x14ac:dyDescent="0.2">
      <c r="A82" s="484">
        <f>Портфель!A82</f>
        <v>0</v>
      </c>
      <c r="B82" s="477" t="e">
        <f>Портфель!B82/Портфель!B$86</f>
        <v>#DIV/0!</v>
      </c>
      <c r="C82" s="477" t="e">
        <f>Портфель!D82/Портфель!D$86</f>
        <v>#DIV/0!</v>
      </c>
      <c r="D82" s="477" t="e">
        <f>Портфель!F82/Портфель!F$86</f>
        <v>#DIV/0!</v>
      </c>
      <c r="E82" s="477" t="e">
        <f>Портфель!H82/Портфель!H$86</f>
        <v>#DIV/0!</v>
      </c>
      <c r="F82" s="477" t="e">
        <f>Портфель!J82/Портфель!J$86</f>
        <v>#DIV/0!</v>
      </c>
      <c r="G82" s="478" t="e">
        <f>Портфель!L82/Портфель!L$86</f>
        <v>#DIV/0!</v>
      </c>
    </row>
    <row r="83" spans="1:7" x14ac:dyDescent="0.2">
      <c r="A83" s="484">
        <f>Портфель!A83</f>
        <v>0</v>
      </c>
      <c r="B83" s="477" t="e">
        <f>Портфель!B83/Портфель!B$86</f>
        <v>#DIV/0!</v>
      </c>
      <c r="C83" s="477" t="e">
        <f>Портфель!D83/Портфель!D$86</f>
        <v>#DIV/0!</v>
      </c>
      <c r="D83" s="477" t="e">
        <f>Портфель!F83/Портфель!F$86</f>
        <v>#DIV/0!</v>
      </c>
      <c r="E83" s="477" t="e">
        <f>Портфель!H83/Портфель!H$86</f>
        <v>#DIV/0!</v>
      </c>
      <c r="F83" s="477" t="e">
        <f>Портфель!J83/Портфель!J$86</f>
        <v>#DIV/0!</v>
      </c>
      <c r="G83" s="478" t="e">
        <f>Портфель!L83/Портфель!L$86</f>
        <v>#DIV/0!</v>
      </c>
    </row>
    <row r="84" spans="1:7" x14ac:dyDescent="0.2">
      <c r="A84" s="484">
        <f>Портфель!A84</f>
        <v>0</v>
      </c>
      <c r="B84" s="477" t="e">
        <f>Портфель!B84/Портфель!B$86</f>
        <v>#DIV/0!</v>
      </c>
      <c r="C84" s="477" t="e">
        <f>Портфель!D84/Портфель!D$86</f>
        <v>#DIV/0!</v>
      </c>
      <c r="D84" s="477" t="e">
        <f>Портфель!F84/Портфель!F$86</f>
        <v>#DIV/0!</v>
      </c>
      <c r="E84" s="477" t="e">
        <f>Портфель!H84/Портфель!H$86</f>
        <v>#DIV/0!</v>
      </c>
      <c r="F84" s="477" t="e">
        <f>Портфель!J84/Портфель!J$86</f>
        <v>#DIV/0!</v>
      </c>
      <c r="G84" s="478" t="e">
        <f>Портфель!L84/Портфель!L$86</f>
        <v>#DIV/0!</v>
      </c>
    </row>
    <row r="85" spans="1:7" x14ac:dyDescent="0.2">
      <c r="A85" s="484">
        <f>Портфель!A85</f>
        <v>0</v>
      </c>
      <c r="B85" s="477" t="e">
        <f>Портфель!B85/Портфель!B$86</f>
        <v>#DIV/0!</v>
      </c>
      <c r="C85" s="477" t="e">
        <f>Портфель!D85/Портфель!D$86</f>
        <v>#DIV/0!</v>
      </c>
      <c r="D85" s="477" t="e">
        <f>Портфель!F85/Портфель!F$86</f>
        <v>#DIV/0!</v>
      </c>
      <c r="E85" s="477" t="e">
        <f>Портфель!H85/Портфель!H$86</f>
        <v>#DIV/0!</v>
      </c>
      <c r="F85" s="477" t="e">
        <f>Портфель!J85/Портфель!J$86</f>
        <v>#DIV/0!</v>
      </c>
      <c r="G85" s="478" t="e">
        <f>Портфель!L85/Портфель!L$86</f>
        <v>#DIV/0!</v>
      </c>
    </row>
    <row r="86" spans="1:7" ht="12" thickBot="1" x14ac:dyDescent="0.25">
      <c r="A86" s="438" t="str">
        <f>IF(L!$B$249=1,L!B314,L!C314)</f>
        <v>ИТОГО</v>
      </c>
      <c r="B86" s="434" t="e">
        <f t="shared" ref="B86:G86" si="12">SUM(B67:B85)</f>
        <v>#DIV/0!</v>
      </c>
      <c r="C86" s="434" t="e">
        <f t="shared" si="12"/>
        <v>#DIV/0!</v>
      </c>
      <c r="D86" s="434" t="e">
        <f t="shared" si="12"/>
        <v>#DIV/0!</v>
      </c>
      <c r="E86" s="434" t="e">
        <f t="shared" si="12"/>
        <v>#DIV/0!</v>
      </c>
      <c r="F86" s="434" t="e">
        <f t="shared" si="12"/>
        <v>#DIV/0!</v>
      </c>
      <c r="G86" s="435" t="e">
        <f t="shared" si="12"/>
        <v>#DIV/0!</v>
      </c>
    </row>
    <row r="87" spans="1:7" x14ac:dyDescent="0.2">
      <c r="A87" s="390"/>
      <c r="B87" s="388"/>
      <c r="C87" s="388"/>
      <c r="D87" s="388"/>
      <c r="E87" s="388"/>
      <c r="F87" s="388"/>
      <c r="G87" s="388"/>
    </row>
    <row r="88" spans="1:7" ht="12" thickBot="1" x14ac:dyDescent="0.25">
      <c r="A88" s="398" t="str">
        <f>IF(L!$B$249=1,L!B319,L!C319)</f>
        <v>VIII. Анализ качества кредитного портфеля</v>
      </c>
      <c r="B88" s="391"/>
      <c r="C88" s="391"/>
      <c r="D88" s="391"/>
      <c r="E88" s="391"/>
      <c r="F88" s="387"/>
    </row>
    <row r="89" spans="1:7" x14ac:dyDescent="0.2">
      <c r="A89" s="441" t="str">
        <f>IF(L!$B$249=1,L!C13,L!B13)</f>
        <v>ОТЧЕТНЫЙ ПЕРИОД :</v>
      </c>
      <c r="B89" s="430" t="str">
        <f t="shared" ref="B89:G89" si="13">B6</f>
        <v/>
      </c>
      <c r="C89" s="430" t="str">
        <f t="shared" si="13"/>
        <v/>
      </c>
      <c r="D89" s="430" t="str">
        <f t="shared" si="13"/>
        <v/>
      </c>
      <c r="E89" s="430" t="str">
        <f t="shared" si="13"/>
        <v/>
      </c>
      <c r="F89" s="430" t="str">
        <f t="shared" si="13"/>
        <v/>
      </c>
      <c r="G89" s="431">
        <f t="shared" si="13"/>
        <v>0</v>
      </c>
    </row>
    <row r="90" spans="1:7" x14ac:dyDescent="0.2">
      <c r="A90" s="444" t="str">
        <f>IF(L!$B$249=1,L!B320,L!C320)</f>
        <v>Статус кредитного портфеля</v>
      </c>
      <c r="B90" s="385" t="str">
        <f t="shared" ref="B90:G90" si="14">B66</f>
        <v>Доля (сумма)</v>
      </c>
      <c r="C90" s="385" t="str">
        <f t="shared" si="14"/>
        <v>Доля (сумма)</v>
      </c>
      <c r="D90" s="385" t="str">
        <f t="shared" si="14"/>
        <v>Доля (сумма)</v>
      </c>
      <c r="E90" s="385" t="str">
        <f t="shared" si="14"/>
        <v>Доля (сумма)</v>
      </c>
      <c r="F90" s="385" t="str">
        <f t="shared" si="14"/>
        <v>Доля (сумма)</v>
      </c>
      <c r="G90" s="224" t="str">
        <f t="shared" si="14"/>
        <v>Доля (сумма)</v>
      </c>
    </row>
    <row r="91" spans="1:7" ht="22.5" x14ac:dyDescent="0.2">
      <c r="A91" s="433" t="str">
        <f>IF(L!$B$249=1,L!B321,L!C321)</f>
        <v>Текущий кредитный портфель (остаток долга без просрочек)</v>
      </c>
      <c r="B91" s="477" t="e">
        <f>Портфель!B91/Портфель!B$99</f>
        <v>#DIV/0!</v>
      </c>
      <c r="C91" s="477" t="e">
        <f>Портфель!D91/Портфель!D$99</f>
        <v>#DIV/0!</v>
      </c>
      <c r="D91" s="477" t="e">
        <f>Портфель!F91/Портфель!F$99</f>
        <v>#DIV/0!</v>
      </c>
      <c r="E91" s="477" t="e">
        <f>Портфель!H91/Портфель!H$99</f>
        <v>#DIV/0!</v>
      </c>
      <c r="F91" s="477" t="e">
        <f>Портфель!J91/Портфель!J$99</f>
        <v>#DIV/0!</v>
      </c>
      <c r="G91" s="478" t="e">
        <f>Портфель!L91/Портфель!L$99</f>
        <v>#DIV/0!</v>
      </c>
    </row>
    <row r="92" spans="1:7" x14ac:dyDescent="0.2">
      <c r="A92" s="445" t="str">
        <f>IF(L!$B$249=1,L!B322,L!C322)</f>
        <v>Кредитный портфель (остаток долга), по которым имеется просрочка по основной сумме и/или начисленных процентов</v>
      </c>
      <c r="B92" s="400"/>
      <c r="C92" s="400"/>
      <c r="D92" s="400"/>
      <c r="E92" s="400"/>
      <c r="F92" s="400"/>
      <c r="G92" s="446"/>
    </row>
    <row r="93" spans="1:7" x14ac:dyDescent="0.2">
      <c r="A93" s="433" t="str">
        <f>IF(L!$B$249=1,L!B323,L!C323)</f>
        <v xml:space="preserve">   от 1 до 30 дней</v>
      </c>
      <c r="B93" s="485" t="e">
        <f>Портфель!B93/Портфель!B$99</f>
        <v>#DIV/0!</v>
      </c>
      <c r="C93" s="485" t="e">
        <f>Портфель!D93/Портфель!D$99</f>
        <v>#DIV/0!</v>
      </c>
      <c r="D93" s="485" t="e">
        <f>Портфель!F93/Портфель!F$99</f>
        <v>#DIV/0!</v>
      </c>
      <c r="E93" s="485" t="e">
        <f>Портфель!H93/Портфель!H$99</f>
        <v>#DIV/0!</v>
      </c>
      <c r="F93" s="485" t="e">
        <f>Портфель!J93/Портфель!J$99</f>
        <v>#DIV/0!</v>
      </c>
      <c r="G93" s="486" t="e">
        <f>Портфель!L93/Портфель!L$99</f>
        <v>#DIV/0!</v>
      </c>
    </row>
    <row r="94" spans="1:7" x14ac:dyDescent="0.2">
      <c r="A94" s="433" t="str">
        <f>IF(L!$B$249=1,L!B324,L!C324)</f>
        <v xml:space="preserve">   от 31 до 90 дней</v>
      </c>
      <c r="B94" s="485" t="e">
        <f>Портфель!B94/Портфель!B$99</f>
        <v>#DIV/0!</v>
      </c>
      <c r="C94" s="485" t="e">
        <f>Портфель!D94/Портфель!D$99</f>
        <v>#DIV/0!</v>
      </c>
      <c r="D94" s="485" t="e">
        <f>Портфель!F94/Портфель!F$99</f>
        <v>#DIV/0!</v>
      </c>
      <c r="E94" s="485" t="e">
        <f>Портфель!H94/Портфель!H$99</f>
        <v>#DIV/0!</v>
      </c>
      <c r="F94" s="485" t="e">
        <f>Портфель!J94/Портфель!J$99</f>
        <v>#DIV/0!</v>
      </c>
      <c r="G94" s="486" t="e">
        <f>Портфель!L94/Портфель!L$99</f>
        <v>#DIV/0!</v>
      </c>
    </row>
    <row r="95" spans="1:7" x14ac:dyDescent="0.2">
      <c r="A95" s="433" t="str">
        <f>IF(L!$B$249=1,L!B325,L!C325)</f>
        <v xml:space="preserve">   от 91 до 180 дней</v>
      </c>
      <c r="B95" s="485" t="e">
        <f>Портфель!B95/Портфель!B$99</f>
        <v>#DIV/0!</v>
      </c>
      <c r="C95" s="485" t="e">
        <f>Портфель!D95/Портфель!D$99</f>
        <v>#DIV/0!</v>
      </c>
      <c r="D95" s="485" t="e">
        <f>Портфель!F95/Портфель!F$99</f>
        <v>#DIV/0!</v>
      </c>
      <c r="E95" s="485" t="e">
        <f>Портфель!H95/Портфель!H$99</f>
        <v>#DIV/0!</v>
      </c>
      <c r="F95" s="485" t="e">
        <f>Портфель!J95/Портфель!J$99</f>
        <v>#DIV/0!</v>
      </c>
      <c r="G95" s="486" t="e">
        <f>Портфель!L95/Портфель!L$99</f>
        <v>#DIV/0!</v>
      </c>
    </row>
    <row r="96" spans="1:7" x14ac:dyDescent="0.2">
      <c r="A96" s="433" t="str">
        <f>IF(L!$B$249=1,L!B326,L!C326)</f>
        <v xml:space="preserve">   от 181 до 360 дней</v>
      </c>
      <c r="B96" s="485" t="e">
        <f>Портфель!B96/Портфель!B$99</f>
        <v>#DIV/0!</v>
      </c>
      <c r="C96" s="485" t="e">
        <f>Портфель!D96/Портфель!D$99</f>
        <v>#DIV/0!</v>
      </c>
      <c r="D96" s="485" t="e">
        <f>Портфель!F96/Портфель!F$99</f>
        <v>#DIV/0!</v>
      </c>
      <c r="E96" s="485" t="e">
        <f>Портфель!H96/Портфель!H$99</f>
        <v>#DIV/0!</v>
      </c>
      <c r="F96" s="485" t="e">
        <f>Портфель!J96/Портфель!J$99</f>
        <v>#DIV/0!</v>
      </c>
      <c r="G96" s="486" t="e">
        <f>Портфель!L96/Портфель!L$99</f>
        <v>#DIV/0!</v>
      </c>
    </row>
    <row r="97" spans="1:7" x14ac:dyDescent="0.2">
      <c r="A97" s="433" t="str">
        <f>IF(L!$B$249=1,L!B327,L!C327)</f>
        <v xml:space="preserve">   более 360 дней</v>
      </c>
      <c r="B97" s="485" t="e">
        <f>Портфель!B97/Портфель!B$99</f>
        <v>#DIV/0!</v>
      </c>
      <c r="C97" s="485" t="e">
        <f>Портфель!D97/Портфель!D$99</f>
        <v>#DIV/0!</v>
      </c>
      <c r="D97" s="485" t="e">
        <f>Портфель!F97/Портфель!F$99</f>
        <v>#DIV/0!</v>
      </c>
      <c r="E97" s="485" t="e">
        <f>Портфель!H97/Портфель!H$99</f>
        <v>#DIV/0!</v>
      </c>
      <c r="F97" s="485" t="e">
        <f>Портфель!J97/Портфель!J$99</f>
        <v>#DIV/0!</v>
      </c>
      <c r="G97" s="486" t="e">
        <f>Портфель!L97/Портфель!L$99</f>
        <v>#DIV/0!</v>
      </c>
    </row>
    <row r="98" spans="1:7" ht="22.5" x14ac:dyDescent="0.2">
      <c r="A98" s="433" t="str">
        <f>IF(L!$B$249=1,L!B328,L!C328)</f>
        <v>Пролонгированные/реструктуризированные кредиты</v>
      </c>
      <c r="B98" s="485" t="e">
        <f>Портфель!B98/Портфель!B$99</f>
        <v>#DIV/0!</v>
      </c>
      <c r="C98" s="485" t="e">
        <f>Портфель!D98/Портфель!D$99</f>
        <v>#DIV/0!</v>
      </c>
      <c r="D98" s="485" t="e">
        <f>Портфель!F98/Портфель!F$99</f>
        <v>#DIV/0!</v>
      </c>
      <c r="E98" s="485" t="e">
        <f>Портфель!H98/Портфель!H$99</f>
        <v>#DIV/0!</v>
      </c>
      <c r="F98" s="485" t="e">
        <f>Портфель!J98/Портфель!J$99</f>
        <v>#DIV/0!</v>
      </c>
      <c r="G98" s="486" t="e">
        <f>Портфель!L98/Портфель!L$99</f>
        <v>#DIV/0!</v>
      </c>
    </row>
    <row r="99" spans="1:7" ht="12" thickBot="1" x14ac:dyDescent="0.25">
      <c r="A99" s="447" t="str">
        <f>IF(L!$B$249=1,L!B329,L!C329)</f>
        <v>Общий кредитный портфель</v>
      </c>
      <c r="B99" s="448" t="e">
        <f t="shared" ref="B99:G99" si="15">B91+B93+B94+B95+B96+B97+B98</f>
        <v>#DIV/0!</v>
      </c>
      <c r="C99" s="448" t="e">
        <f t="shared" si="15"/>
        <v>#DIV/0!</v>
      </c>
      <c r="D99" s="448" t="e">
        <f t="shared" si="15"/>
        <v>#DIV/0!</v>
      </c>
      <c r="E99" s="448" t="e">
        <f t="shared" si="15"/>
        <v>#DIV/0!</v>
      </c>
      <c r="F99" s="448" t="e">
        <f t="shared" si="15"/>
        <v>#DIV/0!</v>
      </c>
      <c r="G99" s="449" t="e">
        <f t="shared" si="15"/>
        <v>#DIV/0!</v>
      </c>
    </row>
    <row r="100" spans="1:7" x14ac:dyDescent="0.2">
      <c r="A100" s="399"/>
      <c r="B100" s="392"/>
      <c r="C100" s="392"/>
      <c r="D100" s="392"/>
      <c r="E100" s="392"/>
      <c r="F100" s="392"/>
      <c r="G100" s="450"/>
    </row>
    <row r="101" spans="1:7" x14ac:dyDescent="0.2">
      <c r="A101" s="442" t="str">
        <f>IF(L!$B$249=1,L!B331,L!C331)</f>
        <v>Cписанные кредиты за отчетный период</v>
      </c>
      <c r="B101" s="477" t="e">
        <f>Портфель!B101/Портфель!B99</f>
        <v>#DIV/0!</v>
      </c>
      <c r="C101" s="477" t="e">
        <f>Портфель!D101/Портфель!D99</f>
        <v>#DIV/0!</v>
      </c>
      <c r="D101" s="477" t="e">
        <f>Портфель!F101/Портфель!F99</f>
        <v>#DIV/0!</v>
      </c>
      <c r="E101" s="477" t="e">
        <f>Портфель!H101/Портфель!H99</f>
        <v>#DIV/0!</v>
      </c>
      <c r="F101" s="477" t="e">
        <f>Портфель!J101/Портфель!J99</f>
        <v>#DIV/0!</v>
      </c>
      <c r="G101" s="478" t="e">
        <f>Портфель!L101/Портфель!L99</f>
        <v>#DIV/0!</v>
      </c>
    </row>
    <row r="102" spans="1:7" ht="12" thickBot="1" x14ac:dyDescent="0.25">
      <c r="A102" s="451" t="str">
        <f>IF(L!$B$249=1,L!B332,L!C332)</f>
        <v>Остаток списанных кредитов на отчетную дату</v>
      </c>
      <c r="B102" s="487" t="e">
        <f>Портфель!B102/Портфель!B99</f>
        <v>#DIV/0!</v>
      </c>
      <c r="C102" s="487" t="e">
        <f>Портфель!D102/Портфель!D99</f>
        <v>#DIV/0!</v>
      </c>
      <c r="D102" s="487" t="e">
        <f>Портфель!F102/Портфель!F99</f>
        <v>#DIV/0!</v>
      </c>
      <c r="E102" s="487" t="e">
        <f>Портфель!H102/Портфель!H99</f>
        <v>#DIV/0!</v>
      </c>
      <c r="F102" s="487" t="e">
        <f>Портфель!J102/Портфель!J99</f>
        <v>#DIV/0!</v>
      </c>
      <c r="G102" s="488" t="e">
        <f>Портфель!L102/Портфель!L99</f>
        <v>#DIV/0!</v>
      </c>
    </row>
    <row r="103" spans="1:7" x14ac:dyDescent="0.2">
      <c r="A103" s="393"/>
      <c r="B103" s="387"/>
      <c r="C103" s="387"/>
      <c r="D103" s="387"/>
      <c r="E103" s="387"/>
      <c r="F103" s="387"/>
    </row>
    <row r="104" spans="1:7" ht="12" thickBot="1" x14ac:dyDescent="0.25">
      <c r="A104" s="393"/>
      <c r="B104" s="387"/>
      <c r="C104" s="387"/>
      <c r="D104" s="387"/>
      <c r="E104" s="387"/>
      <c r="F104" s="387"/>
    </row>
    <row r="105" spans="1:7" ht="13.5" customHeight="1" x14ac:dyDescent="0.2">
      <c r="A105" s="452" t="str">
        <f>IF(L!$B$249=1,L!B334,L!C334)</f>
        <v xml:space="preserve">IX. Другая информация </v>
      </c>
      <c r="B105" s="453" t="str">
        <f t="shared" ref="B105:G105" si="16">B89</f>
        <v/>
      </c>
      <c r="C105" s="453" t="str">
        <f t="shared" si="16"/>
        <v/>
      </c>
      <c r="D105" s="453" t="str">
        <f t="shared" si="16"/>
        <v/>
      </c>
      <c r="E105" s="453" t="str">
        <f t="shared" si="16"/>
        <v/>
      </c>
      <c r="F105" s="453" t="str">
        <f t="shared" si="16"/>
        <v/>
      </c>
      <c r="G105" s="397">
        <f t="shared" si="16"/>
        <v>0</v>
      </c>
    </row>
    <row r="106" spans="1:7" ht="24.75" customHeight="1" x14ac:dyDescent="0.2">
      <c r="A106" s="432" t="str">
        <f>IF(L!$B$249=1,L!B339,L!C339)</f>
        <v>Кредиты, выданные связанным сторонам от общего кредитного портфеля</v>
      </c>
      <c r="B106" s="479" t="e">
        <f>Портфель!B108/Портфель!B99</f>
        <v>#DIV/0!</v>
      </c>
      <c r="C106" s="479" t="e">
        <f>Портфель!D108/Портфель!D99</f>
        <v>#DIV/0!</v>
      </c>
      <c r="D106" s="479" t="e">
        <f>Портфель!F108/Портфель!F99</f>
        <v>#DIV/0!</v>
      </c>
      <c r="E106" s="479" t="e">
        <f>Портфель!H108/Портфель!H99</f>
        <v>#DIV/0!</v>
      </c>
      <c r="F106" s="479" t="e">
        <f>Портфель!J108/Портфель!J99</f>
        <v>#DIV/0!</v>
      </c>
      <c r="G106" s="480" t="e">
        <f>Портфель!L108/Портфель!L99</f>
        <v>#DIV/0!</v>
      </c>
    </row>
    <row r="107" spans="1:7" ht="33.75" x14ac:dyDescent="0.2">
      <c r="A107" s="432" t="str">
        <f>IF(L!$B$249=1,L!B342,L!C342)</f>
        <v>Совокупная задолженность 20 самых крупных заемщиков от общего кредитного портфеля</v>
      </c>
      <c r="B107" s="479" t="e">
        <f>Портфель!B110/Портфель!B99</f>
        <v>#DIV/0!</v>
      </c>
      <c r="C107" s="479" t="e">
        <f>Портфель!D110/Портфель!D99</f>
        <v>#DIV/0!</v>
      </c>
      <c r="D107" s="479" t="e">
        <f>Портфель!F110/Портфель!F99</f>
        <v>#DIV/0!</v>
      </c>
      <c r="E107" s="479" t="e">
        <f>Портфель!H110/Портфель!H99</f>
        <v>#DIV/0!</v>
      </c>
      <c r="F107" s="479" t="e">
        <f>Портфель!J110/Портфель!J99</f>
        <v>#DIV/0!</v>
      </c>
      <c r="G107" s="480" t="e">
        <f>Портфель!L110/Портфель!L99</f>
        <v>#DIV/0!</v>
      </c>
    </row>
    <row r="108" spans="1:7" ht="34.5" thickBot="1" x14ac:dyDescent="0.25">
      <c r="A108" s="443" t="str">
        <f>IF(L!$B$249=1,L!B343,L!C343)</f>
        <v>Кредиты заемщиков, имеющие параллельные кредиты в других ФКУ от общего кредитного портфеля</v>
      </c>
      <c r="B108" s="487" t="e">
        <f>Портфель!B109/Портфель!B99</f>
        <v>#DIV/0!</v>
      </c>
      <c r="C108" s="487" t="e">
        <f>Портфель!D109/Портфель!D99</f>
        <v>#DIV/0!</v>
      </c>
      <c r="D108" s="487" t="e">
        <f>Портфель!F109/Портфель!F99</f>
        <v>#DIV/0!</v>
      </c>
      <c r="E108" s="487" t="e">
        <f>Портфель!H109/Портфель!H99</f>
        <v>#DIV/0!</v>
      </c>
      <c r="F108" s="487" t="e">
        <f>Портфель!J109/Портфель!J99</f>
        <v>#DIV/0!</v>
      </c>
      <c r="G108" s="488" t="e">
        <f>Портфель!L109/Портфель!L99</f>
        <v>#DIV/0!</v>
      </c>
    </row>
    <row r="109" spans="1:7" x14ac:dyDescent="0.2">
      <c r="E109" s="394"/>
    </row>
    <row r="111" spans="1:7" x14ac:dyDescent="0.2">
      <c r="A111" s="383" t="str">
        <f>IF(L!$B$249=1,L!B351,L!C351)</f>
        <v>X. Анализ кредитного портфеля в разрезе продуктов</v>
      </c>
    </row>
    <row r="112" spans="1:7" ht="12" thickBot="1" x14ac:dyDescent="0.25"/>
    <row r="113" spans="1:9" s="601" customFormat="1" ht="78.75" x14ac:dyDescent="0.2">
      <c r="A113" s="429" t="str">
        <f>IF(L!$B$249=1,L!B353,L!C353)</f>
        <v>Наименование продукта</v>
      </c>
      <c r="B113" s="604" t="str">
        <f>IF(L!$B$249=1,L!B354,L!C354)</f>
        <v>Кол-во действующих кредитов</v>
      </c>
      <c r="C113" s="605" t="str">
        <f>IF(L!$B$249=1,L!B355,L!C355)</f>
        <v>Доля от общего кол-ва кредитов</v>
      </c>
      <c r="D113" s="604" t="str">
        <f>IF(L!$B$249=1,L!B356,L!C356)</f>
        <v>Кол-во действующих заемщиков</v>
      </c>
      <c r="E113" s="605" t="str">
        <f>IF(L!$B$249=1,L!B357,L!C357)</f>
        <v>Доля от общего кол-ва заемщиков</v>
      </c>
      <c r="F113" s="604" t="str">
        <f>IF(L!$B$249=1,L!B358,L!C358)</f>
        <v>Общий кредитный портфель</v>
      </c>
      <c r="G113" s="605" t="str">
        <f>IF(L!$B$249=1,L!B359,L!C359)</f>
        <v>Доля от общего кредитного портфеля</v>
      </c>
      <c r="H113" s="604" t="str">
        <f>IF(L!$B$249=1,L!B360,L!C360)</f>
        <v>Портфель в риске свыше 30 дней + пролонгированные/реструктурированные кредиты</v>
      </c>
      <c r="I113" s="606" t="str">
        <f>IF(L!$B$249=1,L!B361,L!C361)</f>
        <v>Портфель в риске от общего кредитного портфеля</v>
      </c>
    </row>
    <row r="114" spans="1:9" x14ac:dyDescent="0.2">
      <c r="A114" s="607">
        <f>Продукты!B8</f>
        <v>0</v>
      </c>
      <c r="B114" s="602">
        <f>Продукты!$B$33</f>
        <v>0</v>
      </c>
      <c r="C114" s="479" t="e">
        <f>B114/$B$124</f>
        <v>#DIV/0!</v>
      </c>
      <c r="D114" s="602">
        <f>Продукты!$B$34</f>
        <v>0</v>
      </c>
      <c r="E114" s="479" t="e">
        <f t="shared" ref="E114:E123" si="17">D114/$D$124</f>
        <v>#DIV/0!</v>
      </c>
      <c r="F114" s="602">
        <f>Продукты!$B$35</f>
        <v>0</v>
      </c>
      <c r="G114" s="479" t="e">
        <f t="shared" ref="G114:G123" si="18">F114/$F$124</f>
        <v>#DIV/0!</v>
      </c>
      <c r="H114" s="602">
        <f>Продукты!$B$36</f>
        <v>0</v>
      </c>
      <c r="I114" s="480" t="e">
        <f>H114/$F$124</f>
        <v>#DIV/0!</v>
      </c>
    </row>
    <row r="115" spans="1:9" x14ac:dyDescent="0.2">
      <c r="A115" s="607">
        <f>Продукты!C8</f>
        <v>0</v>
      </c>
      <c r="B115" s="602">
        <f>Продукты!$C$33</f>
        <v>0</v>
      </c>
      <c r="C115" s="479" t="e">
        <f t="shared" ref="C115:C123" si="19">B115/$B$124</f>
        <v>#DIV/0!</v>
      </c>
      <c r="D115" s="602">
        <f>Продукты!$C$34</f>
        <v>0</v>
      </c>
      <c r="E115" s="479" t="e">
        <f t="shared" si="17"/>
        <v>#DIV/0!</v>
      </c>
      <c r="F115" s="602">
        <f>Продукты!$C$35</f>
        <v>0</v>
      </c>
      <c r="G115" s="479" t="e">
        <f t="shared" si="18"/>
        <v>#DIV/0!</v>
      </c>
      <c r="H115" s="602">
        <f>Продукты!$C$36</f>
        <v>0</v>
      </c>
      <c r="I115" s="480" t="e">
        <f t="shared" ref="I115:I123" si="20">H115/$F$124</f>
        <v>#DIV/0!</v>
      </c>
    </row>
    <row r="116" spans="1:9" x14ac:dyDescent="0.2">
      <c r="A116" s="607">
        <f>Продукты!D8</f>
        <v>0</v>
      </c>
      <c r="B116" s="602">
        <f>Продукты!$D$33</f>
        <v>0</v>
      </c>
      <c r="C116" s="479" t="e">
        <f t="shared" si="19"/>
        <v>#DIV/0!</v>
      </c>
      <c r="D116" s="602">
        <f>Продукты!$D$34</f>
        <v>0</v>
      </c>
      <c r="E116" s="479" t="e">
        <f t="shared" si="17"/>
        <v>#DIV/0!</v>
      </c>
      <c r="F116" s="602">
        <f>Продукты!$D$35</f>
        <v>0</v>
      </c>
      <c r="G116" s="479" t="e">
        <f t="shared" si="18"/>
        <v>#DIV/0!</v>
      </c>
      <c r="H116" s="602">
        <f>Продукты!$D$36</f>
        <v>0</v>
      </c>
      <c r="I116" s="480" t="e">
        <f t="shared" si="20"/>
        <v>#DIV/0!</v>
      </c>
    </row>
    <row r="117" spans="1:9" x14ac:dyDescent="0.2">
      <c r="A117" s="607">
        <f>Продукты!E8</f>
        <v>0</v>
      </c>
      <c r="B117" s="602">
        <f>Продукты!$E$33</f>
        <v>0</v>
      </c>
      <c r="C117" s="479" t="e">
        <f t="shared" si="19"/>
        <v>#DIV/0!</v>
      </c>
      <c r="D117" s="602">
        <f>Продукты!$E$34</f>
        <v>0</v>
      </c>
      <c r="E117" s="479" t="e">
        <f t="shared" si="17"/>
        <v>#DIV/0!</v>
      </c>
      <c r="F117" s="602">
        <f>Продукты!$E$35</f>
        <v>0</v>
      </c>
      <c r="G117" s="479" t="e">
        <f t="shared" si="18"/>
        <v>#DIV/0!</v>
      </c>
      <c r="H117" s="602">
        <f>Продукты!$E$36</f>
        <v>0</v>
      </c>
      <c r="I117" s="480" t="e">
        <f t="shared" si="20"/>
        <v>#DIV/0!</v>
      </c>
    </row>
    <row r="118" spans="1:9" x14ac:dyDescent="0.2">
      <c r="A118" s="607">
        <f>Продукты!F8</f>
        <v>0</v>
      </c>
      <c r="B118" s="602">
        <f>Продукты!$F$33</f>
        <v>0</v>
      </c>
      <c r="C118" s="479" t="e">
        <f t="shared" si="19"/>
        <v>#DIV/0!</v>
      </c>
      <c r="D118" s="602">
        <f>Продукты!$F$34</f>
        <v>0</v>
      </c>
      <c r="E118" s="479" t="e">
        <f t="shared" si="17"/>
        <v>#DIV/0!</v>
      </c>
      <c r="F118" s="602">
        <f>Продукты!$F$35</f>
        <v>0</v>
      </c>
      <c r="G118" s="479" t="e">
        <f t="shared" si="18"/>
        <v>#DIV/0!</v>
      </c>
      <c r="H118" s="602">
        <f>Продукты!$F$36</f>
        <v>0</v>
      </c>
      <c r="I118" s="480" t="e">
        <f t="shared" si="20"/>
        <v>#DIV/0!</v>
      </c>
    </row>
    <row r="119" spans="1:9" x14ac:dyDescent="0.2">
      <c r="A119" s="607">
        <f>Продукты!G8</f>
        <v>0</v>
      </c>
      <c r="B119" s="602">
        <f>Продукты!$G$33</f>
        <v>0</v>
      </c>
      <c r="C119" s="479" t="e">
        <f t="shared" si="19"/>
        <v>#DIV/0!</v>
      </c>
      <c r="D119" s="602">
        <f>Продукты!$G$34</f>
        <v>0</v>
      </c>
      <c r="E119" s="479" t="e">
        <f t="shared" si="17"/>
        <v>#DIV/0!</v>
      </c>
      <c r="F119" s="602">
        <f>Продукты!$G$35</f>
        <v>0</v>
      </c>
      <c r="G119" s="479" t="e">
        <f t="shared" si="18"/>
        <v>#DIV/0!</v>
      </c>
      <c r="H119" s="602">
        <f>Продукты!$G$36</f>
        <v>0</v>
      </c>
      <c r="I119" s="480" t="e">
        <f t="shared" si="20"/>
        <v>#DIV/0!</v>
      </c>
    </row>
    <row r="120" spans="1:9" x14ac:dyDescent="0.2">
      <c r="A120" s="607">
        <f>Продукты!H8</f>
        <v>0</v>
      </c>
      <c r="B120" s="602">
        <f>Продукты!$H$33</f>
        <v>0</v>
      </c>
      <c r="C120" s="479" t="e">
        <f t="shared" si="19"/>
        <v>#DIV/0!</v>
      </c>
      <c r="D120" s="602">
        <f>Продукты!$H$34</f>
        <v>0</v>
      </c>
      <c r="E120" s="479" t="e">
        <f t="shared" si="17"/>
        <v>#DIV/0!</v>
      </c>
      <c r="F120" s="602">
        <f>Продукты!$H$35</f>
        <v>0</v>
      </c>
      <c r="G120" s="479" t="e">
        <f t="shared" si="18"/>
        <v>#DIV/0!</v>
      </c>
      <c r="H120" s="602">
        <f>Продукты!$H$36</f>
        <v>0</v>
      </c>
      <c r="I120" s="480" t="e">
        <f t="shared" si="20"/>
        <v>#DIV/0!</v>
      </c>
    </row>
    <row r="121" spans="1:9" x14ac:dyDescent="0.2">
      <c r="A121" s="607">
        <f>Продукты!I8</f>
        <v>0</v>
      </c>
      <c r="B121" s="602">
        <f>Продукты!$I$33</f>
        <v>0</v>
      </c>
      <c r="C121" s="479" t="e">
        <f t="shared" si="19"/>
        <v>#DIV/0!</v>
      </c>
      <c r="D121" s="602">
        <f>Продукты!$I$34</f>
        <v>0</v>
      </c>
      <c r="E121" s="479" t="e">
        <f t="shared" si="17"/>
        <v>#DIV/0!</v>
      </c>
      <c r="F121" s="602">
        <f>Продукты!$I$35</f>
        <v>0</v>
      </c>
      <c r="G121" s="479" t="e">
        <f t="shared" si="18"/>
        <v>#DIV/0!</v>
      </c>
      <c r="H121" s="602">
        <f>Продукты!$I$36</f>
        <v>0</v>
      </c>
      <c r="I121" s="480" t="e">
        <f t="shared" si="20"/>
        <v>#DIV/0!</v>
      </c>
    </row>
    <row r="122" spans="1:9" x14ac:dyDescent="0.2">
      <c r="A122" s="607">
        <f>Продукты!J8</f>
        <v>0</v>
      </c>
      <c r="B122" s="602">
        <f>Продукты!$J$33</f>
        <v>0</v>
      </c>
      <c r="C122" s="479" t="e">
        <f t="shared" si="19"/>
        <v>#DIV/0!</v>
      </c>
      <c r="D122" s="602">
        <f>Продукты!$J$34</f>
        <v>0</v>
      </c>
      <c r="E122" s="479" t="e">
        <f t="shared" si="17"/>
        <v>#DIV/0!</v>
      </c>
      <c r="F122" s="602">
        <f>Продукты!$J$35</f>
        <v>0</v>
      </c>
      <c r="G122" s="479" t="e">
        <f t="shared" si="18"/>
        <v>#DIV/0!</v>
      </c>
      <c r="H122" s="602">
        <f>Продукты!$J$36</f>
        <v>0</v>
      </c>
      <c r="I122" s="480" t="e">
        <f t="shared" si="20"/>
        <v>#DIV/0!</v>
      </c>
    </row>
    <row r="123" spans="1:9" x14ac:dyDescent="0.2">
      <c r="A123" s="607">
        <f>Продукты!K8</f>
        <v>0</v>
      </c>
      <c r="B123" s="602">
        <f>Продукты!$K$33</f>
        <v>0</v>
      </c>
      <c r="C123" s="479" t="e">
        <f t="shared" si="19"/>
        <v>#DIV/0!</v>
      </c>
      <c r="D123" s="602">
        <f>Продукты!$K$34</f>
        <v>0</v>
      </c>
      <c r="E123" s="479" t="e">
        <f t="shared" si="17"/>
        <v>#DIV/0!</v>
      </c>
      <c r="F123" s="602">
        <f>Продукты!$K$35</f>
        <v>0</v>
      </c>
      <c r="G123" s="479" t="e">
        <f t="shared" si="18"/>
        <v>#DIV/0!</v>
      </c>
      <c r="H123" s="602">
        <f>Продукты!$K$36</f>
        <v>0</v>
      </c>
      <c r="I123" s="480" t="e">
        <f t="shared" si="20"/>
        <v>#DIV/0!</v>
      </c>
    </row>
    <row r="124" spans="1:9" s="383" customFormat="1" ht="12" thickBot="1" x14ac:dyDescent="0.25">
      <c r="A124" s="573" t="str">
        <f>IF(L!$B$249=1,L!B362,L!C362)</f>
        <v>Итого</v>
      </c>
      <c r="B124" s="608">
        <f t="shared" ref="B124:I124" si="21">SUM(B114:B123)</f>
        <v>0</v>
      </c>
      <c r="C124" s="609" t="e">
        <f t="shared" si="21"/>
        <v>#DIV/0!</v>
      </c>
      <c r="D124" s="608">
        <f t="shared" si="21"/>
        <v>0</v>
      </c>
      <c r="E124" s="609" t="e">
        <f t="shared" si="21"/>
        <v>#DIV/0!</v>
      </c>
      <c r="F124" s="608">
        <f t="shared" si="21"/>
        <v>0</v>
      </c>
      <c r="G124" s="609" t="e">
        <f t="shared" si="21"/>
        <v>#DIV/0!</v>
      </c>
      <c r="H124" s="608">
        <f t="shared" si="21"/>
        <v>0</v>
      </c>
      <c r="I124" s="610" t="e">
        <f t="shared" si="21"/>
        <v>#DIV/0!</v>
      </c>
    </row>
    <row r="189" spans="1:1" x14ac:dyDescent="0.2">
      <c r="A189" s="395" t="s">
        <v>116</v>
      </c>
    </row>
    <row r="190" spans="1:1" x14ac:dyDescent="0.2">
      <c r="A190" s="396" t="e">
        <f>YEAR(B89)</f>
        <v>#VALUE!</v>
      </c>
    </row>
    <row r="191" spans="1:1" x14ac:dyDescent="0.2">
      <c r="A191" s="396" t="e">
        <f>YEAR(C89)</f>
        <v>#VALUE!</v>
      </c>
    </row>
    <row r="192" spans="1:1" x14ac:dyDescent="0.2">
      <c r="A192" s="396" t="e">
        <f>YEAR(D89)</f>
        <v>#VALUE!</v>
      </c>
    </row>
    <row r="193" spans="1:1" x14ac:dyDescent="0.2">
      <c r="A193" s="395" t="s">
        <v>112</v>
      </c>
    </row>
    <row r="194" spans="1:1" x14ac:dyDescent="0.2">
      <c r="A194" s="395" t="s">
        <v>113</v>
      </c>
    </row>
    <row r="195" spans="1:1" x14ac:dyDescent="0.2">
      <c r="A195" s="395" t="s">
        <v>114</v>
      </c>
    </row>
    <row r="196" spans="1:1" x14ac:dyDescent="0.2">
      <c r="A196" s="395" t="s">
        <v>115</v>
      </c>
    </row>
  </sheetData>
  <sheetProtection password="D090" sheet="1" formatCells="0" formatColumns="0" formatRows="0"/>
  <mergeCells count="2">
    <mergeCell ref="A3:A4"/>
    <mergeCell ref="A65:A66"/>
  </mergeCells>
  <dataValidations disablePrompts="1" count="5">
    <dataValidation allowBlank="1" showInputMessage="1" showErrorMessage="1" prompt="кредиты выданные без какого либо обеспечения." sqref="A62"/>
    <dataValidation allowBlank="1" showInputMessage="1" showErrorMessage="1" prompt="кредиты обеспеченные гарантией/поручительством третьих лиц. Сюда также входят групповые кредиты." sqref="A61"/>
    <dataValidation allowBlank="1" showInputMessage="1" showErrorMessage="1" prompt="материальные ценности - мебель, бытовые приборы (холодильник, телевизор, компьютер и т.д.) и другие ценности, автомобиль, с/х техника, оборудования и другое движимое имущество. " sqref="A60"/>
    <dataValidation allowBlank="1" showInputMessage="1" showErrorMessage="1" prompt="частные дома, квартиры, нежилые помещения, склады, земля и т.д." sqref="A59"/>
    <dataValidation allowBlank="1" showInputMessage="1" showErrorMessage="1" promptTitle="Текущий кредитный портфель" prompt="Общая сумма дебиторской задолженности по займам на_x000a_определенный момент времени (общая сумма долга заемщиков перед организацией), которая является текущей, без просрочек и неплатежей." sqref="A91"/>
  </dataValidations>
  <pageMargins left="0.22" right="0.31" top="0.3" bottom="0.16" header="0.31" footer="0.17"/>
  <pageSetup paperSize="9" scale="88" orientation="landscape" r:id="rId1"/>
  <headerFooter alignWithMargins="0"/>
  <rowBreaks count="2" manualBreakCount="2">
    <brk id="46" max="16383" man="1"/>
    <brk id="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06593" r:id="rId4" name="Drop Down 1">
              <controlPr defaultSize="0" print="0" autoLine="0" autoPict="0">
                <anchor moveWithCells="1">
                  <from>
                    <xdr:col>1</xdr:col>
                    <xdr:colOff>9525</xdr:colOff>
                    <xdr:row>2</xdr:row>
                    <xdr:rowOff>9525</xdr:rowOff>
                  </from>
                  <to>
                    <xdr:col>1</xdr:col>
                    <xdr:colOff>742950</xdr:colOff>
                    <xdr:row>3</xdr:row>
                    <xdr:rowOff>66675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dimension ref="A1:N169"/>
  <sheetViews>
    <sheetView showGridLines="0" zoomScaleNormal="100" workbookViewId="0">
      <pane ySplit="5" topLeftCell="A114" activePane="bottomLeft" state="frozen"/>
      <selection pane="bottomLeft" activeCell="O18" sqref="O18"/>
    </sheetView>
  </sheetViews>
  <sheetFormatPr defaultRowHeight="11.25" x14ac:dyDescent="0.2"/>
  <cols>
    <col min="1" max="1" width="6.42578125" style="8" customWidth="1"/>
    <col min="2" max="2" width="5.85546875" style="8" customWidth="1"/>
    <col min="3" max="3" width="16.28515625" style="8" customWidth="1"/>
    <col min="4" max="5" width="9.42578125" style="8" customWidth="1"/>
    <col min="6" max="6" width="20.5703125" style="8" customWidth="1"/>
    <col min="7" max="7" width="3" style="8" customWidth="1"/>
    <col min="8" max="8" width="33" style="1" customWidth="1"/>
    <col min="9" max="14" width="8.7109375" style="1" bestFit="1" customWidth="1"/>
    <col min="15" max="16384" width="9.140625" style="1"/>
  </cols>
  <sheetData>
    <row r="1" spans="1:14" x14ac:dyDescent="0.2">
      <c r="A1" s="8" t="e">
        <f>IF('Заключение УКП'!#REF!&gt;0,'Заключение УКП'!#REF!,"")</f>
        <v>#REF!</v>
      </c>
    </row>
    <row r="4" spans="1:14" x14ac:dyDescent="0.2">
      <c r="A4" s="77" t="str">
        <f>IF(L!$B$190=1,L!B194,L!C194)</f>
        <v>АНАЛИЗ ТЕНДЕНЦИЙ ПОКАЗАТЕЛЕЙ БАЛАНСА, ОПУ И КРЕДИТНОГО ПОРТФЕЛЯ</v>
      </c>
      <c r="I4" s="467" t="str">
        <f>Баланс!C6</f>
        <v/>
      </c>
      <c r="J4" s="467" t="str">
        <f>Баланс!D6</f>
        <v/>
      </c>
      <c r="K4" s="467" t="str">
        <f>Баланс!E6</f>
        <v/>
      </c>
      <c r="L4" s="467" t="str">
        <f>Баланс!F6</f>
        <v/>
      </c>
      <c r="M4" s="467" t="str">
        <f>Баланс!G6</f>
        <v/>
      </c>
      <c r="N4" s="467">
        <f>Баланс!H6</f>
        <v>0</v>
      </c>
    </row>
    <row r="6" spans="1:14" x14ac:dyDescent="0.2">
      <c r="B6" s="29"/>
      <c r="C6" s="29"/>
      <c r="D6" s="29"/>
      <c r="E6" s="29"/>
      <c r="F6" s="29"/>
      <c r="G6" s="72" t="str">
        <f>IF(L!$B$190=1,L!B196,L!C196)</f>
        <v>Расчеты для графика</v>
      </c>
    </row>
    <row r="8" spans="1:14" x14ac:dyDescent="0.2">
      <c r="A8" s="72" t="str">
        <f>IF(L!$B$190=1,L!B195,L!C195)</f>
        <v>График</v>
      </c>
      <c r="B8" s="11">
        <v>1</v>
      </c>
      <c r="G8" s="74">
        <v>1</v>
      </c>
      <c r="H8" s="72" t="str">
        <f>IF(L!$B$190=1,L!B197,L!C197)</f>
        <v>Структура активов</v>
      </c>
      <c r="I8" s="75" t="str">
        <f>Баланс!C6</f>
        <v/>
      </c>
      <c r="J8" s="75" t="str">
        <f>Баланс!D6</f>
        <v/>
      </c>
      <c r="K8" s="75" t="str">
        <f>Баланс!E6</f>
        <v/>
      </c>
      <c r="L8" s="75" t="str">
        <f>Баланс!F6</f>
        <v/>
      </c>
      <c r="M8" s="75" t="str">
        <f>Баланс!G6</f>
        <v/>
      </c>
      <c r="N8" s="75">
        <f>Баланс!H6</f>
        <v>0</v>
      </c>
    </row>
    <row r="9" spans="1:14" x14ac:dyDescent="0.2">
      <c r="G9" s="72"/>
      <c r="H9" s="73" t="str">
        <f>IF(L!$B$190=1,L!B198,L!C198)</f>
        <v>Итого портфель займов</v>
      </c>
      <c r="I9" s="3" t="e">
        <f>Баланс!J11</f>
        <v>#DIV/0!</v>
      </c>
      <c r="J9" s="3" t="e">
        <f>Баланс!K11</f>
        <v>#DIV/0!</v>
      </c>
      <c r="K9" s="3" t="e">
        <f>Баланс!L11</f>
        <v>#DIV/0!</v>
      </c>
      <c r="L9" s="3" t="e">
        <f>Баланс!M11</f>
        <v>#DIV/0!</v>
      </c>
      <c r="M9" s="3" t="e">
        <f>Баланс!N11</f>
        <v>#DIV/0!</v>
      </c>
      <c r="N9" s="3" t="e">
        <f>Баланс!O11</f>
        <v>#DIV/0!</v>
      </c>
    </row>
    <row r="10" spans="1:14" x14ac:dyDescent="0.2">
      <c r="G10" s="72"/>
      <c r="H10" s="73" t="str">
        <f>IF(L!$B$190=1,L!B199,L!C199)</f>
        <v>Резерв под убытки по займам</v>
      </c>
      <c r="I10" s="3" t="e">
        <f>Баланс!J12</f>
        <v>#DIV/0!</v>
      </c>
      <c r="J10" s="3" t="e">
        <f>Баланс!K12</f>
        <v>#DIV/0!</v>
      </c>
      <c r="K10" s="3" t="e">
        <f>Баланс!L12</f>
        <v>#DIV/0!</v>
      </c>
      <c r="L10" s="3" t="e">
        <f>Баланс!M12</f>
        <v>#DIV/0!</v>
      </c>
      <c r="M10" s="3" t="e">
        <f>Баланс!N12</f>
        <v>#DIV/0!</v>
      </c>
      <c r="N10" s="3" t="e">
        <f>Баланс!O12</f>
        <v>#DIV/0!</v>
      </c>
    </row>
    <row r="11" spans="1:14" x14ac:dyDescent="0.2">
      <c r="G11" s="72"/>
      <c r="H11" s="73" t="str">
        <f>IF(L!$B$190=1,L!B200,L!C200)</f>
        <v>Другие текущие активы и нач.проценты</v>
      </c>
      <c r="I11" s="3" t="e">
        <f>Баланс!J14+Баланс!J15</f>
        <v>#DIV/0!</v>
      </c>
      <c r="J11" s="3" t="e">
        <f>Баланс!K14+Баланс!K15</f>
        <v>#DIV/0!</v>
      </c>
      <c r="K11" s="3" t="e">
        <f>Баланс!L14+Баланс!L15</f>
        <v>#DIV/0!</v>
      </c>
      <c r="L11" s="3" t="e">
        <f>Баланс!M14+Баланс!M15</f>
        <v>#DIV/0!</v>
      </c>
      <c r="M11" s="3" t="e">
        <f>Баланс!N14+Баланс!N15</f>
        <v>#DIV/0!</v>
      </c>
      <c r="N11" s="3" t="e">
        <f>Баланс!O14+Баланс!O15</f>
        <v>#DIV/0!</v>
      </c>
    </row>
    <row r="12" spans="1:14" x14ac:dyDescent="0.2">
      <c r="G12" s="72"/>
    </row>
    <row r="24" spans="1:14" ht="27" customHeight="1" x14ac:dyDescent="0.2">
      <c r="A24" s="72" t="str">
        <f>IF(L!$B$190=1,L!B195,L!C195)</f>
        <v>График</v>
      </c>
      <c r="B24" s="11">
        <v>2</v>
      </c>
      <c r="G24" s="459">
        <v>2</v>
      </c>
      <c r="H24" s="455" t="str">
        <f>IF(L!$B$190=1,L!B202,L!C202)</f>
        <v>Структура источников финансирования от общих активов</v>
      </c>
      <c r="I24" s="75" t="str">
        <f>Баланс!C6</f>
        <v/>
      </c>
      <c r="J24" s="75" t="str">
        <f>Баланс!D6</f>
        <v/>
      </c>
      <c r="K24" s="75" t="str">
        <f>Баланс!E6</f>
        <v/>
      </c>
      <c r="L24" s="75" t="str">
        <f>Баланс!F6</f>
        <v/>
      </c>
      <c r="M24" s="75" t="str">
        <f>Баланс!G6</f>
        <v/>
      </c>
      <c r="N24" s="75">
        <f>Баланс!H6</f>
        <v>0</v>
      </c>
    </row>
    <row r="25" spans="1:14" x14ac:dyDescent="0.2">
      <c r="A25" s="1"/>
      <c r="B25" s="1"/>
      <c r="H25" s="456" t="str">
        <f>IF(L!$B$190=1,L!B203,L!C203)</f>
        <v>Собственный капитал</v>
      </c>
      <c r="I25" s="3" t="e">
        <f>Баланс!J45</f>
        <v>#DIV/0!</v>
      </c>
      <c r="J25" s="3" t="e">
        <f>Баланс!K45</f>
        <v>#DIV/0!</v>
      </c>
      <c r="K25" s="3" t="e">
        <f>Баланс!L45</f>
        <v>#DIV/0!</v>
      </c>
      <c r="L25" s="3" t="e">
        <f>Баланс!M45</f>
        <v>#DIV/0!</v>
      </c>
      <c r="M25" s="3" t="e">
        <f>Баланс!N45</f>
        <v>#DIV/0!</v>
      </c>
      <c r="N25" s="3" t="e">
        <f>Баланс!O45</f>
        <v>#DIV/0!</v>
      </c>
    </row>
    <row r="26" spans="1:14" x14ac:dyDescent="0.2">
      <c r="G26" s="72"/>
      <c r="H26" s="456" t="str">
        <f>IF(L!$B$190=1,L!B204,L!C204)</f>
        <v>Привлеченные кредиты</v>
      </c>
      <c r="I26" s="3" t="e">
        <f>Баланс!J27+Баланс!J32</f>
        <v>#DIV/0!</v>
      </c>
      <c r="J26" s="3" t="e">
        <f>Баланс!K27+Баланс!K32</f>
        <v>#DIV/0!</v>
      </c>
      <c r="K26" s="3" t="e">
        <f>Баланс!L27+Баланс!L32</f>
        <v>#DIV/0!</v>
      </c>
      <c r="L26" s="3" t="e">
        <f>Баланс!M27+Баланс!M32</f>
        <v>#DIV/0!</v>
      </c>
      <c r="M26" s="3" t="e">
        <f>Баланс!N27+Баланс!N32</f>
        <v>#DIV/0!</v>
      </c>
      <c r="N26" s="3" t="e">
        <f>Баланс!O27+Баланс!O32</f>
        <v>#DIV/0!</v>
      </c>
    </row>
    <row r="27" spans="1:14" x14ac:dyDescent="0.2">
      <c r="G27" s="72"/>
      <c r="H27" s="456" t="str">
        <f>IF(L!$B$190=1,L!B205,L!C205)</f>
        <v>Привлеченные депозиты</v>
      </c>
      <c r="I27" s="76" t="e">
        <f>Баланс!J25+Баланс!J26+Баланс!J31</f>
        <v>#DIV/0!</v>
      </c>
      <c r="J27" s="76" t="e">
        <f>Баланс!K25+Баланс!K26+Баланс!K31</f>
        <v>#DIV/0!</v>
      </c>
      <c r="K27" s="76" t="e">
        <f>Баланс!L25+Баланс!L26+Баланс!L31</f>
        <v>#DIV/0!</v>
      </c>
      <c r="L27" s="76" t="e">
        <f>Баланс!M25+Баланс!M26+Баланс!M31</f>
        <v>#DIV/0!</v>
      </c>
      <c r="M27" s="76" t="e">
        <f>Баланс!N25+Баланс!N26+Баланс!N31</f>
        <v>#DIV/0!</v>
      </c>
      <c r="N27" s="76" t="e">
        <f>Баланс!O25+Баланс!O26+Баланс!O31</f>
        <v>#DIV/0!</v>
      </c>
    </row>
    <row r="42" spans="1:14" ht="22.5" x14ac:dyDescent="0.2">
      <c r="A42" s="72" t="str">
        <f>IF(L!$B$190=1,L!B195,L!C195)</f>
        <v>График</v>
      </c>
      <c r="B42" s="11">
        <v>3</v>
      </c>
      <c r="G42" s="458">
        <v>3</v>
      </c>
      <c r="H42" s="455" t="str">
        <f>IF(L!$B$190=1,L!B207,L!C207)</f>
        <v>Рост кредитного портфеля и общих активов</v>
      </c>
      <c r="I42" s="75" t="str">
        <f>'Коэф-ты'!D4</f>
        <v/>
      </c>
      <c r="J42" s="75" t="str">
        <f>'Коэф-ты'!E4</f>
        <v/>
      </c>
      <c r="K42" s="75" t="str">
        <f>'Коэф-ты'!F4</f>
        <v/>
      </c>
      <c r="L42" s="75" t="str">
        <f>'Коэф-ты'!G4</f>
        <v/>
      </c>
      <c r="M42" s="75" t="str">
        <f>'Коэф-ты'!H4</f>
        <v/>
      </c>
      <c r="N42" s="75">
        <f>'Коэф-ты'!I4</f>
        <v>0</v>
      </c>
    </row>
    <row r="43" spans="1:14" x14ac:dyDescent="0.2">
      <c r="H43" s="73" t="str">
        <f>IF(L!$B$190=1,L!B208,L!C208)</f>
        <v>Рост общих активов</v>
      </c>
      <c r="I43" s="3"/>
      <c r="J43" s="457" t="str">
        <f>Баланс!R22</f>
        <v/>
      </c>
      <c r="K43" s="457" t="str">
        <f>Баланс!S22</f>
        <v/>
      </c>
      <c r="L43" s="457" t="str">
        <f>Баланс!T22</f>
        <v/>
      </c>
      <c r="M43" s="457" t="str">
        <f>Баланс!U22</f>
        <v/>
      </c>
      <c r="N43" s="457" t="str">
        <f>Баланс!V22</f>
        <v/>
      </c>
    </row>
    <row r="44" spans="1:14" x14ac:dyDescent="0.2">
      <c r="G44" s="72"/>
      <c r="H44" s="73" t="str">
        <f>IF(L!$B$190=1,L!B209,L!C209)</f>
        <v xml:space="preserve">Рост кредитного портфеля </v>
      </c>
      <c r="I44" s="3"/>
      <c r="J44" s="457" t="str">
        <f>Баланс!R11</f>
        <v/>
      </c>
      <c r="K44" s="457" t="str">
        <f>Баланс!S11</f>
        <v/>
      </c>
      <c r="L44" s="457" t="str">
        <f>Баланс!T11</f>
        <v/>
      </c>
      <c r="M44" s="457" t="str">
        <f>Баланс!U11</f>
        <v/>
      </c>
      <c r="N44" s="457" t="str">
        <f>Баланс!V11</f>
        <v/>
      </c>
    </row>
    <row r="45" spans="1:14" x14ac:dyDescent="0.2">
      <c r="G45" s="72"/>
    </row>
    <row r="61" spans="1:14" ht="22.5" x14ac:dyDescent="0.2">
      <c r="A61" s="72" t="str">
        <f>IF(L!$B$190=1,L!B195,L!C195)</f>
        <v>График</v>
      </c>
      <c r="B61" s="11">
        <v>4</v>
      </c>
      <c r="G61" s="458">
        <v>4</v>
      </c>
      <c r="H61" s="455" t="str">
        <f>IF(L!$B$190=1,L!B211,L!C211)</f>
        <v>Корелляция между доходами и расходами</v>
      </c>
      <c r="I61" s="75" t="str">
        <f>'Коэф-ты'!D4</f>
        <v/>
      </c>
      <c r="J61" s="75" t="str">
        <f>'Коэф-ты'!E4</f>
        <v/>
      </c>
      <c r="K61" s="75" t="str">
        <f>'Коэф-ты'!F4</f>
        <v/>
      </c>
      <c r="L61" s="75" t="str">
        <f>'Коэф-ты'!G4</f>
        <v/>
      </c>
      <c r="M61" s="75" t="str">
        <f>'Коэф-ты'!H4</f>
        <v/>
      </c>
      <c r="N61" s="75">
        <f>'Коэф-ты'!I4</f>
        <v>0</v>
      </c>
    </row>
    <row r="62" spans="1:14" x14ac:dyDescent="0.2">
      <c r="H62" s="456" t="str">
        <f>IF(L!$B$190=1,L!B212,L!C212)</f>
        <v xml:space="preserve">Рост финансовых доходов </v>
      </c>
      <c r="I62" s="3"/>
      <c r="J62" s="457" t="str">
        <f>ОПУ!R12</f>
        <v/>
      </c>
      <c r="K62" s="457" t="str">
        <f>ОПУ!S12</f>
        <v/>
      </c>
      <c r="L62" s="457" t="str">
        <f>ОПУ!T12</f>
        <v/>
      </c>
      <c r="M62" s="457" t="str">
        <f>ОПУ!U12</f>
        <v/>
      </c>
      <c r="N62" s="457" t="str">
        <f>ОПУ!V12</f>
        <v/>
      </c>
    </row>
    <row r="63" spans="1:14" x14ac:dyDescent="0.2">
      <c r="G63" s="72"/>
      <c r="H63" s="456" t="str">
        <f>IF(L!$B$190=1,L!B213,L!C213)</f>
        <v>Рост финансовых расходов</v>
      </c>
      <c r="I63" s="3"/>
      <c r="J63" s="457" t="str">
        <f>ОПУ!R17</f>
        <v/>
      </c>
      <c r="K63" s="457" t="str">
        <f>ОПУ!S17</f>
        <v/>
      </c>
      <c r="L63" s="457" t="str">
        <f>ОПУ!T17</f>
        <v/>
      </c>
      <c r="M63" s="457" t="str">
        <f>ОПУ!U17</f>
        <v/>
      </c>
      <c r="N63" s="457" t="str">
        <f>ОПУ!V17</f>
        <v/>
      </c>
    </row>
    <row r="64" spans="1:14" x14ac:dyDescent="0.2">
      <c r="G64" s="72"/>
      <c r="H64" s="456" t="str">
        <f>IF(L!$B$190=1,L!B214,L!C214)</f>
        <v>Рост операционных расходов</v>
      </c>
      <c r="I64" s="3"/>
      <c r="J64" s="457" t="str">
        <f>ОПУ!R26</f>
        <v/>
      </c>
      <c r="K64" s="457" t="str">
        <f>ОПУ!S26</f>
        <v/>
      </c>
      <c r="L64" s="457" t="str">
        <f>ОПУ!T26</f>
        <v/>
      </c>
      <c r="M64" s="457" t="str">
        <f>ОПУ!U26</f>
        <v/>
      </c>
      <c r="N64" s="457" t="str">
        <f>ОПУ!V26</f>
        <v/>
      </c>
    </row>
    <row r="78" spans="1:14" x14ac:dyDescent="0.2">
      <c r="A78" s="1"/>
      <c r="B78" s="1"/>
      <c r="G78" s="1"/>
      <c r="M78" s="33"/>
    </row>
    <row r="79" spans="1:14" ht="22.5" x14ac:dyDescent="0.2">
      <c r="A79" s="8" t="str">
        <f>IF(L!$B$190=1,L!B195,L!C195)</f>
        <v>График</v>
      </c>
      <c r="B79" s="11">
        <v>5</v>
      </c>
      <c r="G79" s="458">
        <v>5</v>
      </c>
      <c r="H79" s="455" t="str">
        <f>IF(L!$B$190=1,L!B216,L!C216)</f>
        <v>Рентабельность кредитной деятельности</v>
      </c>
      <c r="I79" s="225" t="str">
        <f>Баланс!C6</f>
        <v/>
      </c>
      <c r="J79" s="225" t="str">
        <f>Баланс!D6</f>
        <v/>
      </c>
      <c r="K79" s="225" t="str">
        <f>Баланс!E6</f>
        <v/>
      </c>
      <c r="L79" s="225" t="str">
        <f>Баланс!F6</f>
        <v/>
      </c>
      <c r="M79" s="225" t="str">
        <f>Баланс!G6</f>
        <v/>
      </c>
      <c r="N79" s="225">
        <f>Баланс!H6</f>
        <v>0</v>
      </c>
    </row>
    <row r="80" spans="1:14" x14ac:dyDescent="0.2">
      <c r="G80" s="72"/>
      <c r="H80" s="456" t="str">
        <f>IF(L!$B$190=1,L!B217,L!C217)</f>
        <v>Доходность портфеля</v>
      </c>
      <c r="I80" s="3" t="e">
        <f>'Коэф-ты'!D26</f>
        <v>#VALUE!</v>
      </c>
      <c r="J80" s="3" t="e">
        <f>'Коэф-ты'!E26</f>
        <v>#VALUE!</v>
      </c>
      <c r="K80" s="3" t="e">
        <f>'Коэф-ты'!F26</f>
        <v>#VALUE!</v>
      </c>
      <c r="L80" s="3" t="e">
        <f>'Коэф-ты'!G26</f>
        <v>#VALUE!</v>
      </c>
      <c r="M80" s="3" t="e">
        <f>'Коэф-ты'!H26</f>
        <v>#VALUE!</v>
      </c>
      <c r="N80" s="3" t="e">
        <f>'Коэф-ты'!I26</f>
        <v>#DIV/0!</v>
      </c>
    </row>
    <row r="81" spans="8:14" x14ac:dyDescent="0.2">
      <c r="H81" s="456" t="str">
        <f>IF(L!$B$190=1,L!B218,L!C218)</f>
        <v>Стоимость средств</v>
      </c>
      <c r="I81" s="3" t="e">
        <f>'Коэф-ты'!D28</f>
        <v>#VALUE!</v>
      </c>
      <c r="J81" s="3" t="e">
        <f>'Коэф-ты'!E28</f>
        <v>#VALUE!</v>
      </c>
      <c r="K81" s="3" t="e">
        <f>'Коэф-ты'!F28</f>
        <v>#VALUE!</v>
      </c>
      <c r="L81" s="3" t="e">
        <f>'Коэф-ты'!G28</f>
        <v>#VALUE!</v>
      </c>
      <c r="M81" s="3" t="e">
        <f>'Коэф-ты'!H28</f>
        <v>#VALUE!</v>
      </c>
      <c r="N81" s="3" t="e">
        <f>'Коэф-ты'!I28</f>
        <v>#DIV/0!</v>
      </c>
    </row>
    <row r="82" spans="8:14" x14ac:dyDescent="0.2">
      <c r="H82" s="456" t="str">
        <f>IF(L!$B$190=1,L!B219,L!C219)</f>
        <v>Коэфф-нт опер.расходов</v>
      </c>
      <c r="I82" s="3" t="e">
        <f>'Коэф-ты'!D30</f>
        <v>#VALUE!</v>
      </c>
      <c r="J82" s="3" t="e">
        <f>'Коэф-ты'!E30</f>
        <v>#VALUE!</v>
      </c>
      <c r="K82" s="3" t="e">
        <f>'Коэф-ты'!F30</f>
        <v>#VALUE!</v>
      </c>
      <c r="L82" s="3" t="e">
        <f>'Коэф-ты'!G30</f>
        <v>#VALUE!</v>
      </c>
      <c r="M82" s="3" t="e">
        <f>'Коэф-ты'!H30</f>
        <v>#VALUE!</v>
      </c>
      <c r="N82" s="3" t="e">
        <f>'Коэф-ты'!I30</f>
        <v>#DIV/0!</v>
      </c>
    </row>
    <row r="83" spans="8:14" x14ac:dyDescent="0.2">
      <c r="H83" s="456" t="str">
        <f>IF(L!$B$190=1,L!B220,L!C220)</f>
        <v>Расходы по созданию резервов</v>
      </c>
      <c r="I83" s="3" t="e">
        <f>'Коэф-ты'!D32</f>
        <v>#VALUE!</v>
      </c>
      <c r="J83" s="3" t="e">
        <f>'Коэф-ты'!E32</f>
        <v>#VALUE!</v>
      </c>
      <c r="K83" s="3" t="e">
        <f>'Коэф-ты'!F32</f>
        <v>#VALUE!</v>
      </c>
      <c r="L83" s="3" t="e">
        <f>'Коэф-ты'!G32</f>
        <v>#VALUE!</v>
      </c>
      <c r="M83" s="3" t="e">
        <f>'Коэф-ты'!H32</f>
        <v>#VALUE!</v>
      </c>
      <c r="N83" s="3" t="e">
        <f>'Коэф-ты'!I32</f>
        <v>#DIV/0!</v>
      </c>
    </row>
    <row r="84" spans="8:14" x14ac:dyDescent="0.2">
      <c r="H84" s="455" t="str">
        <f>IF(L!$B$190=1,L!B221,L!C221)</f>
        <v>Чистая операцонная маржа</v>
      </c>
      <c r="I84" s="465" t="e">
        <f t="shared" ref="I84:N84" si="0">I80-I81-I82-I83</f>
        <v>#VALUE!</v>
      </c>
      <c r="J84" s="465" t="e">
        <f t="shared" si="0"/>
        <v>#VALUE!</v>
      </c>
      <c r="K84" s="465" t="e">
        <f t="shared" si="0"/>
        <v>#VALUE!</v>
      </c>
      <c r="L84" s="465" t="e">
        <f t="shared" si="0"/>
        <v>#VALUE!</v>
      </c>
      <c r="M84" s="465" t="e">
        <f t="shared" si="0"/>
        <v>#VALUE!</v>
      </c>
      <c r="N84" s="465" t="e">
        <f t="shared" si="0"/>
        <v>#DIV/0!</v>
      </c>
    </row>
    <row r="85" spans="8:14" x14ac:dyDescent="0.2">
      <c r="H85" s="73"/>
      <c r="I85" s="3"/>
      <c r="J85" s="3"/>
      <c r="K85" s="3"/>
      <c r="L85" s="3"/>
      <c r="M85" s="3"/>
    </row>
    <row r="86" spans="8:14" x14ac:dyDescent="0.2">
      <c r="H86" s="73"/>
      <c r="I86" s="3"/>
      <c r="J86" s="3"/>
      <c r="K86" s="3"/>
      <c r="L86" s="3"/>
    </row>
    <row r="87" spans="8:14" x14ac:dyDescent="0.2">
      <c r="H87" s="73"/>
      <c r="I87" s="3"/>
      <c r="J87" s="3"/>
      <c r="K87" s="3"/>
      <c r="L87" s="3"/>
    </row>
    <row r="98" spans="1:14" x14ac:dyDescent="0.2">
      <c r="A98" s="72" t="str">
        <f>IF(L!$B$190=1,L!B195,L!C195)</f>
        <v>График</v>
      </c>
      <c r="B98" s="11">
        <v>6</v>
      </c>
      <c r="G98" s="8">
        <v>6</v>
      </c>
      <c r="H98" s="72" t="str">
        <f>IF(L!$B$190=1,L!B223,L!C223)</f>
        <v>Доходность и устойчивость</v>
      </c>
      <c r="I98" s="75" t="str">
        <f>'Коэф-ты'!D4</f>
        <v/>
      </c>
      <c r="J98" s="75" t="str">
        <f>'Коэф-ты'!E4</f>
        <v/>
      </c>
      <c r="K98" s="75" t="str">
        <f>'Коэф-ты'!F4</f>
        <v/>
      </c>
      <c r="L98" s="75" t="str">
        <f>'Коэф-ты'!G4</f>
        <v/>
      </c>
      <c r="M98" s="75" t="str">
        <f>'Коэф-ты'!H4</f>
        <v/>
      </c>
      <c r="N98" s="75">
        <f>'Коэф-ты'!I4</f>
        <v>0</v>
      </c>
    </row>
    <row r="99" spans="1:14" x14ac:dyDescent="0.2">
      <c r="H99" s="73" t="str">
        <f>IF(L!$B$190=1,L!B224,L!C224)</f>
        <v xml:space="preserve">Операционная Самоокупаемость </v>
      </c>
      <c r="I99" s="457" t="e">
        <f>'Коэф-ты'!D6</f>
        <v>#DIV/0!</v>
      </c>
      <c r="J99" s="457" t="e">
        <f>'Коэф-ты'!E6</f>
        <v>#DIV/0!</v>
      </c>
      <c r="K99" s="457" t="e">
        <f>'Коэф-ты'!F6</f>
        <v>#DIV/0!</v>
      </c>
      <c r="L99" s="457" t="e">
        <f>'Коэф-ты'!G6</f>
        <v>#DIV/0!</v>
      </c>
      <c r="M99" s="457" t="e">
        <f>'Коэф-ты'!H6</f>
        <v>#DIV/0!</v>
      </c>
      <c r="N99" s="457" t="e">
        <f>'Коэф-ты'!I6</f>
        <v>#DIV/0!</v>
      </c>
    </row>
    <row r="100" spans="1:14" x14ac:dyDescent="0.2">
      <c r="H100" s="72" t="str">
        <f>IF(L!$B$190=1,L!B225,L!C225)</f>
        <v>Доходность капитала (ROE)</v>
      </c>
      <c r="I100" s="705" t="e">
        <f>'Коэф-ты'!D10</f>
        <v>#VALUE!</v>
      </c>
      <c r="J100" s="705" t="e">
        <f>'Коэф-ты'!E10</f>
        <v>#VALUE!</v>
      </c>
      <c r="K100" s="705" t="e">
        <f>'Коэф-ты'!F10</f>
        <v>#VALUE!</v>
      </c>
      <c r="L100" s="705" t="e">
        <f>'Коэф-ты'!G10</f>
        <v>#VALUE!</v>
      </c>
      <c r="M100" s="705" t="e">
        <f>'Коэф-ты'!H10</f>
        <v>#VALUE!</v>
      </c>
      <c r="N100" s="705" t="e">
        <f>'Коэф-ты'!I10</f>
        <v>#DIV/0!</v>
      </c>
    </row>
    <row r="118" spans="1:14" x14ac:dyDescent="0.2">
      <c r="A118" s="8" t="str">
        <f>IF(L!$B$190=1,L!B195,L!C195)</f>
        <v>График</v>
      </c>
      <c r="B118" s="11">
        <v>7</v>
      </c>
      <c r="G118" s="8">
        <v>7</v>
      </c>
      <c r="H118" s="8" t="str">
        <f>IF(L!$B$190=1,L!B227,L!C227)</f>
        <v>Стат.данные по кредитованию</v>
      </c>
      <c r="I118" s="75" t="str">
        <f>'Коэф-ты'!D4</f>
        <v/>
      </c>
      <c r="J118" s="75" t="str">
        <f>'Коэф-ты'!E4</f>
        <v/>
      </c>
      <c r="K118" s="75" t="str">
        <f>'Коэф-ты'!F4</f>
        <v/>
      </c>
      <c r="L118" s="75" t="str">
        <f>'Коэф-ты'!G4</f>
        <v/>
      </c>
      <c r="M118" s="75" t="str">
        <f>'Коэф-ты'!H4</f>
        <v/>
      </c>
      <c r="N118" s="75">
        <f>'Коэф-ты'!I4</f>
        <v>0</v>
      </c>
    </row>
    <row r="119" spans="1:14" x14ac:dyDescent="0.2">
      <c r="H119" s="1" t="str">
        <f>IF(L!$B$190=1,L!B228,L!C228)</f>
        <v>Общий кредитный портфель (млн.)</v>
      </c>
      <c r="I119" s="460">
        <f>Баланс!C11/1000000</f>
        <v>0</v>
      </c>
      <c r="J119" s="460">
        <f>Баланс!D11/1000000</f>
        <v>0</v>
      </c>
      <c r="K119" s="460">
        <f>Баланс!E11/1000000</f>
        <v>0</v>
      </c>
      <c r="L119" s="460">
        <f>Баланс!F11/1000000</f>
        <v>0</v>
      </c>
      <c r="M119" s="460">
        <f>Баланс!G11/1000000</f>
        <v>0</v>
      </c>
      <c r="N119" s="460">
        <f>Баланс!H11/1000000</f>
        <v>0</v>
      </c>
    </row>
    <row r="120" spans="1:14" x14ac:dyDescent="0.2">
      <c r="H120" s="1" t="str">
        <f>IF(L!$B$190=1,L!B229,L!C229)</f>
        <v>Кол-во заемщиков</v>
      </c>
      <c r="I120" s="33">
        <f>Портфель!B114</f>
        <v>0</v>
      </c>
      <c r="J120" s="33">
        <f>Портфель!D114</f>
        <v>0</v>
      </c>
      <c r="K120" s="33">
        <f>Портфель!F114</f>
        <v>0</v>
      </c>
      <c r="L120" s="33">
        <f>Портфель!H114</f>
        <v>0</v>
      </c>
      <c r="M120" s="33">
        <f>Портфель!J114</f>
        <v>0</v>
      </c>
      <c r="N120" s="33">
        <f>Портфель!L114</f>
        <v>0</v>
      </c>
    </row>
    <row r="121" spans="1:14" x14ac:dyDescent="0.2">
      <c r="I121" s="461"/>
      <c r="J121" s="461"/>
      <c r="K121" s="461"/>
      <c r="L121" s="461"/>
      <c r="M121" s="461"/>
      <c r="N121" s="461"/>
    </row>
    <row r="122" spans="1:14" x14ac:dyDescent="0.2">
      <c r="H122" s="8"/>
    </row>
    <row r="138" spans="1:14" x14ac:dyDescent="0.2">
      <c r="A138" s="8" t="str">
        <f>IF(L!$B$190=1,L!B195,L!C195)</f>
        <v>График</v>
      </c>
      <c r="B138" s="11">
        <v>8</v>
      </c>
      <c r="G138" s="8">
        <v>8</v>
      </c>
      <c r="H138" s="8" t="str">
        <f>IF(L!$B$190=1,L!B231,L!C231)</f>
        <v>Качество кредитного портфеля</v>
      </c>
      <c r="I138" s="75" t="str">
        <f>'Коэф-ты'!D4</f>
        <v/>
      </c>
      <c r="J138" s="75" t="str">
        <f>'Коэф-ты'!E4</f>
        <v/>
      </c>
      <c r="K138" s="75" t="str">
        <f>'Коэф-ты'!F4</f>
        <v/>
      </c>
      <c r="L138" s="75" t="str">
        <f>'Коэф-ты'!G4</f>
        <v/>
      </c>
      <c r="M138" s="75" t="str">
        <f>'Коэф-ты'!H4</f>
        <v/>
      </c>
      <c r="N138" s="75">
        <f>'Коэф-ты'!I4</f>
        <v>0</v>
      </c>
    </row>
    <row r="139" spans="1:14" x14ac:dyDescent="0.2">
      <c r="H139" s="1" t="str">
        <f>IF(L!$B$190=1,L!B232,L!C232)</f>
        <v>PAR&gt;30 дней+реструктур.кредиты</v>
      </c>
      <c r="I139" s="461" t="e">
        <f>'Коэф-ты'!D36</f>
        <v>#DIV/0!</v>
      </c>
      <c r="J139" s="461" t="e">
        <f>'Коэф-ты'!E36</f>
        <v>#DIV/0!</v>
      </c>
      <c r="K139" s="461" t="e">
        <f>'Коэф-ты'!F36</f>
        <v>#DIV/0!</v>
      </c>
      <c r="L139" s="461" t="e">
        <f>'Коэф-ты'!G36</f>
        <v>#DIV/0!</v>
      </c>
      <c r="M139" s="461" t="e">
        <f>'Коэф-ты'!H36</f>
        <v>#DIV/0!</v>
      </c>
      <c r="N139" s="461" t="e">
        <f>'Коэф-ты'!I36</f>
        <v>#DIV/0!</v>
      </c>
    </row>
    <row r="140" spans="1:14" x14ac:dyDescent="0.2">
      <c r="H140" s="1" t="str">
        <f>IF(L!$B$190=1,L!B233,L!C233)</f>
        <v>РППУ от общего кред.портфеля</v>
      </c>
      <c r="I140" s="461" t="e">
        <f>Баланс!C12/Баланс!C11</f>
        <v>#DIV/0!</v>
      </c>
      <c r="J140" s="461" t="e">
        <f>Баланс!D12/Баланс!D11</f>
        <v>#DIV/0!</v>
      </c>
      <c r="K140" s="461" t="e">
        <f>Баланс!E12/Баланс!E11</f>
        <v>#DIV/0!</v>
      </c>
      <c r="L140" s="461" t="e">
        <f>Баланс!F12/Баланс!F11</f>
        <v>#DIV/0!</v>
      </c>
      <c r="M140" s="461" t="e">
        <f>Баланс!G12/Баланс!G11</f>
        <v>#DIV/0!</v>
      </c>
      <c r="N140" s="461" t="e">
        <f>Баланс!H12/Баланс!H11</f>
        <v>#DIV/0!</v>
      </c>
    </row>
    <row r="141" spans="1:14" x14ac:dyDescent="0.2">
      <c r="H141" s="1" t="str">
        <f>IF(L!$B$190=1,L!B234,L!C234)</f>
        <v>Коэффициент покрытия риска</v>
      </c>
      <c r="I141" s="76" t="e">
        <f t="shared" ref="I141:N141" si="1">I140/I139</f>
        <v>#DIV/0!</v>
      </c>
      <c r="J141" s="76" t="e">
        <f t="shared" si="1"/>
        <v>#DIV/0!</v>
      </c>
      <c r="K141" s="76" t="e">
        <f t="shared" si="1"/>
        <v>#DIV/0!</v>
      </c>
      <c r="L141" s="76" t="e">
        <f t="shared" si="1"/>
        <v>#DIV/0!</v>
      </c>
      <c r="M141" s="76" t="e">
        <f t="shared" si="1"/>
        <v>#DIV/0!</v>
      </c>
      <c r="N141" s="76" t="e">
        <f t="shared" si="1"/>
        <v>#DIV/0!</v>
      </c>
    </row>
    <row r="142" spans="1:14" x14ac:dyDescent="0.2">
      <c r="H142" s="8"/>
    </row>
    <row r="158" spans="1:14" ht="22.5" x14ac:dyDescent="0.2">
      <c r="A158" s="8" t="str">
        <f>IF(L!$B$190=1,L!B195,L!C195)</f>
        <v>График</v>
      </c>
      <c r="B158" s="11">
        <v>9</v>
      </c>
      <c r="G158" s="247">
        <v>9</v>
      </c>
      <c r="H158" s="463" t="str">
        <f>IF(L!$B$190=1,L!B236,L!C236)</f>
        <v>Анализ концентрации кредитного портфеля по секторам</v>
      </c>
      <c r="I158" s="75" t="str">
        <f>'Коэф-ты'!D4</f>
        <v/>
      </c>
      <c r="J158" s="75" t="str">
        <f>'Коэф-ты'!E4</f>
        <v/>
      </c>
      <c r="K158" s="75" t="str">
        <f>'Коэф-ты'!F4</f>
        <v/>
      </c>
      <c r="L158" s="75" t="str">
        <f>'Коэф-ты'!G4</f>
        <v/>
      </c>
      <c r="M158" s="75" t="str">
        <f>'Коэф-ты'!H4</f>
        <v/>
      </c>
      <c r="N158" s="75">
        <f>'Коэф-ты'!I4</f>
        <v>0</v>
      </c>
    </row>
    <row r="159" spans="1:14" x14ac:dyDescent="0.2">
      <c r="G159" s="464">
        <v>1</v>
      </c>
      <c r="H159" s="1" t="str">
        <f>IF(L!$B$190=1,L!B237,L!C237)</f>
        <v xml:space="preserve">1-ая наибольшая </v>
      </c>
      <c r="I159" s="462" t="e">
        <f>LARGE(PConcentration!B$26:B$35,$G159)</f>
        <v>#DIV/0!</v>
      </c>
      <c r="J159" s="462" t="e">
        <f>LARGE(PConcentration!C$26:C$35,$G159)</f>
        <v>#DIV/0!</v>
      </c>
      <c r="K159" s="462" t="e">
        <f>LARGE(PConcentration!D$26:D$35,$G159)</f>
        <v>#DIV/0!</v>
      </c>
      <c r="L159" s="462" t="e">
        <f>LARGE(PConcentration!E$26:E$35,$G159)</f>
        <v>#DIV/0!</v>
      </c>
      <c r="M159" s="462" t="e">
        <f>LARGE(PConcentration!F$26:F$35,$G159)</f>
        <v>#DIV/0!</v>
      </c>
      <c r="N159" s="462" t="e">
        <f>LARGE(PConcentration!G$26:G$35,$G159)</f>
        <v>#DIV/0!</v>
      </c>
    </row>
    <row r="160" spans="1:14" x14ac:dyDescent="0.2">
      <c r="G160" s="464">
        <v>2</v>
      </c>
      <c r="H160" s="1" t="str">
        <f>IF(L!$B$190=1,L!B238,L!C238)</f>
        <v xml:space="preserve">2-ая </v>
      </c>
      <c r="I160" s="462" t="e">
        <f>LARGE(PConcentration!B$26:B$35,$G160)</f>
        <v>#DIV/0!</v>
      </c>
      <c r="J160" s="462" t="e">
        <f>LARGE(PConcentration!C$26:C$35,$G160)</f>
        <v>#DIV/0!</v>
      </c>
      <c r="K160" s="462" t="e">
        <f>LARGE(PConcentration!D$26:D$35,$G160)</f>
        <v>#DIV/0!</v>
      </c>
      <c r="L160" s="462" t="e">
        <f>LARGE(PConcentration!E$26:E$35,$G160)</f>
        <v>#DIV/0!</v>
      </c>
      <c r="M160" s="462" t="e">
        <f>LARGE(PConcentration!F$26:F$35,$G160)</f>
        <v>#DIV/0!</v>
      </c>
      <c r="N160" s="462" t="e">
        <f>LARGE(PConcentration!G$26:G$35,$G160)</f>
        <v>#DIV/0!</v>
      </c>
    </row>
    <row r="161" spans="7:14" x14ac:dyDescent="0.2">
      <c r="G161" s="464">
        <v>3</v>
      </c>
      <c r="H161" s="1" t="str">
        <f>IF(L!$B$190=1,L!B239,L!C239)</f>
        <v xml:space="preserve">3-ая  </v>
      </c>
      <c r="I161" s="462" t="e">
        <f>LARGE(PConcentration!B$26:B$35,$G161)</f>
        <v>#DIV/0!</v>
      </c>
      <c r="J161" s="462" t="e">
        <f>LARGE(PConcentration!C$26:C$35,$G161)</f>
        <v>#DIV/0!</v>
      </c>
      <c r="K161" s="462" t="e">
        <f>LARGE(PConcentration!D$26:D$35,$G161)</f>
        <v>#DIV/0!</v>
      </c>
      <c r="L161" s="462" t="e">
        <f>LARGE(PConcentration!E$26:E$35,$G161)</f>
        <v>#DIV/0!</v>
      </c>
      <c r="M161" s="462" t="e">
        <f>LARGE(PConcentration!F$26:F$35,$G161)</f>
        <v>#DIV/0!</v>
      </c>
      <c r="N161" s="462" t="e">
        <f>LARGE(PConcentration!G$26:G$35,$G161)</f>
        <v>#DIV/0!</v>
      </c>
    </row>
    <row r="162" spans="7:14" x14ac:dyDescent="0.2">
      <c r="G162" s="464">
        <v>4</v>
      </c>
      <c r="H162" s="1" t="str">
        <f>IF(L!$B$190=1,L!B240,L!C240)</f>
        <v xml:space="preserve">4-ая  </v>
      </c>
      <c r="I162" s="462" t="e">
        <f>LARGE(PConcentration!B$26:B$35,$G162)</f>
        <v>#DIV/0!</v>
      </c>
      <c r="J162" s="462" t="e">
        <f>LARGE(PConcentration!C$26:C$35,$G162)</f>
        <v>#DIV/0!</v>
      </c>
      <c r="K162" s="462" t="e">
        <f>LARGE(PConcentration!D$26:D$35,$G162)</f>
        <v>#DIV/0!</v>
      </c>
      <c r="L162" s="462" t="e">
        <f>LARGE(PConcentration!E$26:E$35,$G162)</f>
        <v>#DIV/0!</v>
      </c>
      <c r="M162" s="462" t="e">
        <f>LARGE(PConcentration!F$26:F$35,$G162)</f>
        <v>#DIV/0!</v>
      </c>
      <c r="N162" s="462" t="e">
        <f>LARGE(PConcentration!G$26:G$35,$G162)</f>
        <v>#DIV/0!</v>
      </c>
    </row>
    <row r="163" spans="7:14" x14ac:dyDescent="0.2">
      <c r="G163" s="464">
        <v>5</v>
      </c>
      <c r="H163" s="1" t="str">
        <f>IF(L!$B$190=1,L!B241,L!C241)</f>
        <v xml:space="preserve">5-ая  </v>
      </c>
      <c r="I163" s="462" t="e">
        <f>LARGE(PConcentration!B$26:B$35,$G163)</f>
        <v>#DIV/0!</v>
      </c>
      <c r="J163" s="462" t="e">
        <f>LARGE(PConcentration!C$26:C$35,$G163)</f>
        <v>#DIV/0!</v>
      </c>
      <c r="K163" s="462" t="e">
        <f>LARGE(PConcentration!D$26:D$35,$G163)</f>
        <v>#DIV/0!</v>
      </c>
      <c r="L163" s="462" t="e">
        <f>LARGE(PConcentration!E$26:E$35,$G163)</f>
        <v>#DIV/0!</v>
      </c>
      <c r="M163" s="462" t="e">
        <f>LARGE(PConcentration!F$26:F$35,$G163)</f>
        <v>#DIV/0!</v>
      </c>
      <c r="N163" s="462" t="e">
        <f>LARGE(PConcentration!G$26:G$35,$G163)</f>
        <v>#DIV/0!</v>
      </c>
    </row>
    <row r="164" spans="7:14" x14ac:dyDescent="0.2">
      <c r="G164" s="464">
        <v>6</v>
      </c>
      <c r="H164" s="1" t="str">
        <f>IF(L!$B$190=1,L!B242,L!C242)</f>
        <v xml:space="preserve">6-ая  </v>
      </c>
      <c r="I164" s="462" t="e">
        <f>LARGE(PConcentration!B$26:B$35,$G164)</f>
        <v>#DIV/0!</v>
      </c>
      <c r="J164" s="462" t="e">
        <f>LARGE(PConcentration!C$26:C$35,$G164)</f>
        <v>#DIV/0!</v>
      </c>
      <c r="K164" s="462" t="e">
        <f>LARGE(PConcentration!D$26:D$35,$G164)</f>
        <v>#DIV/0!</v>
      </c>
      <c r="L164" s="462" t="e">
        <f>LARGE(PConcentration!E$26:E$35,$G164)</f>
        <v>#DIV/0!</v>
      </c>
      <c r="M164" s="462" t="e">
        <f>LARGE(PConcentration!F$26:F$35,$G164)</f>
        <v>#DIV/0!</v>
      </c>
      <c r="N164" s="462" t="e">
        <f>LARGE(PConcentration!G$26:G$35,$G164)</f>
        <v>#DIV/0!</v>
      </c>
    </row>
    <row r="165" spans="7:14" x14ac:dyDescent="0.2">
      <c r="G165" s="464">
        <v>7</v>
      </c>
      <c r="H165" s="1" t="str">
        <f>IF(L!$B$190=1,L!B243,L!C243)</f>
        <v xml:space="preserve">7-ая  </v>
      </c>
      <c r="I165" s="462" t="e">
        <f>LARGE(PConcentration!B$26:B$35,$G165)</f>
        <v>#DIV/0!</v>
      </c>
      <c r="J165" s="462" t="e">
        <f>LARGE(PConcentration!C$26:C$35,$G165)</f>
        <v>#DIV/0!</v>
      </c>
      <c r="K165" s="462" t="e">
        <f>LARGE(PConcentration!D$26:D$35,$G165)</f>
        <v>#DIV/0!</v>
      </c>
      <c r="L165" s="462" t="e">
        <f>LARGE(PConcentration!E$26:E$35,$G165)</f>
        <v>#DIV/0!</v>
      </c>
      <c r="M165" s="462" t="e">
        <f>LARGE(PConcentration!F$26:F$35,$G165)</f>
        <v>#DIV/0!</v>
      </c>
      <c r="N165" s="462" t="e">
        <f>LARGE(PConcentration!G$26:G$35,$G165)</f>
        <v>#DIV/0!</v>
      </c>
    </row>
    <row r="166" spans="7:14" x14ac:dyDescent="0.2">
      <c r="G166" s="464">
        <v>8</v>
      </c>
      <c r="H166" s="1" t="str">
        <f>IF(L!$B$190=1,L!B244,L!C244)</f>
        <v xml:space="preserve">8-ая  </v>
      </c>
      <c r="I166" s="462" t="e">
        <f>LARGE(PConcentration!B$26:B$35,$G166)</f>
        <v>#DIV/0!</v>
      </c>
      <c r="J166" s="462" t="e">
        <f>LARGE(PConcentration!C$26:C$35,$G166)</f>
        <v>#DIV/0!</v>
      </c>
      <c r="K166" s="462" t="e">
        <f>LARGE(PConcentration!D$26:D$35,$G166)</f>
        <v>#DIV/0!</v>
      </c>
      <c r="L166" s="462" t="e">
        <f>LARGE(PConcentration!E$26:E$35,$G166)</f>
        <v>#DIV/0!</v>
      </c>
      <c r="M166" s="462" t="e">
        <f>LARGE(PConcentration!F$26:F$35,$G166)</f>
        <v>#DIV/0!</v>
      </c>
      <c r="N166" s="462" t="e">
        <f>LARGE(PConcentration!G$26:G$35,$G166)</f>
        <v>#DIV/0!</v>
      </c>
    </row>
    <row r="167" spans="7:14" x14ac:dyDescent="0.2">
      <c r="G167" s="464">
        <v>9</v>
      </c>
      <c r="H167" s="1" t="str">
        <f>IF(L!$B$190=1,L!B245,L!C245)</f>
        <v xml:space="preserve">9-ая  </v>
      </c>
      <c r="I167" s="462" t="e">
        <f>LARGE(PConcentration!B$26:B$35,$G167)</f>
        <v>#DIV/0!</v>
      </c>
      <c r="J167" s="462" t="e">
        <f>LARGE(PConcentration!C$26:C$35,$G167)</f>
        <v>#DIV/0!</v>
      </c>
      <c r="K167" s="462" t="e">
        <f>LARGE(PConcentration!D$26:D$35,$G167)</f>
        <v>#DIV/0!</v>
      </c>
      <c r="L167" s="462" t="e">
        <f>LARGE(PConcentration!E$26:E$35,$G167)</f>
        <v>#DIV/0!</v>
      </c>
      <c r="M167" s="462" t="e">
        <f>LARGE(PConcentration!F$26:F$35,$G167)</f>
        <v>#DIV/0!</v>
      </c>
      <c r="N167" s="462" t="e">
        <f>LARGE(PConcentration!G$26:G$35,$G167)</f>
        <v>#DIV/0!</v>
      </c>
    </row>
    <row r="168" spans="7:14" x14ac:dyDescent="0.2">
      <c r="G168" s="464">
        <v>10</v>
      </c>
      <c r="H168" s="1" t="str">
        <f>IF(L!$B$190=1,L!B246,L!C246)</f>
        <v xml:space="preserve">10-ая  </v>
      </c>
      <c r="I168" s="462" t="e">
        <f>LARGE(PConcentration!B$26:B$35,$G168)</f>
        <v>#DIV/0!</v>
      </c>
      <c r="J168" s="462" t="e">
        <f>LARGE(PConcentration!C$26:C$35,$G168)</f>
        <v>#DIV/0!</v>
      </c>
      <c r="K168" s="462" t="e">
        <f>LARGE(PConcentration!D$26:D$35,$G168)</f>
        <v>#DIV/0!</v>
      </c>
      <c r="L168" s="462" t="e">
        <f>LARGE(PConcentration!E$26:E$35,$G168)</f>
        <v>#DIV/0!</v>
      </c>
      <c r="M168" s="462" t="e">
        <f>LARGE(PConcentration!F$26:F$35,$G168)</f>
        <v>#DIV/0!</v>
      </c>
      <c r="N168" s="462" t="e">
        <f>LARGE(PConcentration!G$26:G$35,$G168)</f>
        <v>#DIV/0!</v>
      </c>
    </row>
    <row r="169" spans="7:14" x14ac:dyDescent="0.2">
      <c r="J169" s="76"/>
    </row>
  </sheetData>
  <sheetProtection password="D090" sheet="1" objects="1" scenarios="1" formatCells="0" formatColumns="0" formatRows="0"/>
  <phoneticPr fontId="9" type="noConversion"/>
  <pageMargins left="0.17" right="0.23" top="0.25" bottom="0.26" header="0.32" footer="0.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7" r:id="rId4" name="Drop Down 25">
              <controlPr defaultSize="0" autoLine="0" autoPict="0">
                <anchor moveWithCells="1">
                  <from>
                    <xdr:col>5</xdr:col>
                    <xdr:colOff>47625</xdr:colOff>
                    <xdr:row>0</xdr:row>
                    <xdr:rowOff>95250</xdr:rowOff>
                  </from>
                  <to>
                    <xdr:col>5</xdr:col>
                    <xdr:colOff>847725</xdr:colOff>
                    <xdr:row>2</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N774"/>
  <sheetViews>
    <sheetView topLeftCell="A738" zoomScale="110" zoomScaleNormal="110" workbookViewId="0">
      <selection activeCell="C746" sqref="C746"/>
    </sheetView>
  </sheetViews>
  <sheetFormatPr defaultColWidth="69" defaultRowHeight="11.25" x14ac:dyDescent="0.2"/>
  <cols>
    <col min="1" max="1" width="4.28515625" style="510" bestFit="1" customWidth="1"/>
    <col min="2" max="2" width="47.28515625" style="510" customWidth="1"/>
    <col min="3" max="3" width="48" style="510" customWidth="1"/>
    <col min="4" max="4" width="37.140625" style="510" customWidth="1"/>
    <col min="5" max="5" width="36.140625" style="510" customWidth="1"/>
    <col min="6" max="6" width="28.85546875" style="510" customWidth="1"/>
    <col min="7" max="16384" width="69" style="510"/>
  </cols>
  <sheetData>
    <row r="1" spans="1:5" x14ac:dyDescent="0.2">
      <c r="B1" s="510">
        <v>2</v>
      </c>
    </row>
    <row r="2" spans="1:5" x14ac:dyDescent="0.2">
      <c r="B2" s="47" t="s">
        <v>64</v>
      </c>
    </row>
    <row r="3" spans="1:5" x14ac:dyDescent="0.2">
      <c r="B3" s="47" t="s">
        <v>619</v>
      </c>
      <c r="C3" s="47"/>
    </row>
    <row r="4" spans="1:5" x14ac:dyDescent="0.2">
      <c r="B4" s="47"/>
      <c r="C4" s="47"/>
    </row>
    <row r="5" spans="1:5" x14ac:dyDescent="0.2">
      <c r="B5" s="509" t="s">
        <v>41</v>
      </c>
      <c r="C5" s="47" t="s">
        <v>301</v>
      </c>
    </row>
    <row r="6" spans="1:5" x14ac:dyDescent="0.2">
      <c r="B6" s="509" t="s">
        <v>42</v>
      </c>
      <c r="C6" s="47" t="s">
        <v>65</v>
      </c>
      <c r="D6" s="510" t="s">
        <v>119</v>
      </c>
      <c r="E6" s="510" t="s">
        <v>124</v>
      </c>
    </row>
    <row r="7" spans="1:5" x14ac:dyDescent="0.2">
      <c r="B7" s="47" t="s">
        <v>295</v>
      </c>
      <c r="C7" s="47" t="s">
        <v>296</v>
      </c>
      <c r="D7" s="510" t="s">
        <v>852</v>
      </c>
      <c r="E7" s="510" t="s">
        <v>853</v>
      </c>
    </row>
    <row r="8" spans="1:5" x14ac:dyDescent="0.2">
      <c r="B8" s="47" t="s">
        <v>891</v>
      </c>
      <c r="C8" s="47" t="s">
        <v>850</v>
      </c>
    </row>
    <row r="9" spans="1:5" x14ac:dyDescent="0.2">
      <c r="B9" s="47" t="s">
        <v>966</v>
      </c>
      <c r="C9" s="47" t="s">
        <v>967</v>
      </c>
    </row>
    <row r="10" spans="1:5" x14ac:dyDescent="0.2">
      <c r="B10" s="47" t="s">
        <v>968</v>
      </c>
      <c r="C10" s="47" t="s">
        <v>969</v>
      </c>
    </row>
    <row r="11" spans="1:5" x14ac:dyDescent="0.2">
      <c r="B11" s="47" t="s">
        <v>297</v>
      </c>
      <c r="C11" s="47" t="s">
        <v>298</v>
      </c>
      <c r="D11" s="510" t="s">
        <v>743</v>
      </c>
      <c r="E11" s="510" t="s">
        <v>468</v>
      </c>
    </row>
    <row r="12" spans="1:5" x14ac:dyDescent="0.2">
      <c r="B12" s="47" t="s">
        <v>471</v>
      </c>
      <c r="C12" s="47" t="s">
        <v>237</v>
      </c>
      <c r="D12" s="510" t="s">
        <v>121</v>
      </c>
      <c r="E12" s="510" t="s">
        <v>127</v>
      </c>
    </row>
    <row r="13" spans="1:5" x14ac:dyDescent="0.2">
      <c r="A13" s="5"/>
      <c r="B13" s="5" t="s">
        <v>134</v>
      </c>
      <c r="C13" s="47" t="s">
        <v>135</v>
      </c>
      <c r="D13" s="510" t="s">
        <v>122</v>
      </c>
      <c r="E13" s="510" t="s">
        <v>126</v>
      </c>
    </row>
    <row r="14" spans="1:5" x14ac:dyDescent="0.2">
      <c r="A14" s="511"/>
      <c r="B14" s="156" t="s">
        <v>299</v>
      </c>
      <c r="C14" s="156" t="s">
        <v>300</v>
      </c>
    </row>
    <row r="15" spans="1:5" x14ac:dyDescent="0.2">
      <c r="A15" s="83" t="s">
        <v>302</v>
      </c>
      <c r="B15" s="83" t="s">
        <v>1144</v>
      </c>
      <c r="C15" s="83" t="s">
        <v>1146</v>
      </c>
    </row>
    <row r="16" spans="1:5" x14ac:dyDescent="0.2">
      <c r="A16" s="83"/>
      <c r="B16" s="83" t="s">
        <v>1145</v>
      </c>
      <c r="C16" s="83" t="s">
        <v>1147</v>
      </c>
    </row>
    <row r="17" spans="1:5" x14ac:dyDescent="0.2">
      <c r="A17" s="83" t="s">
        <v>303</v>
      </c>
      <c r="B17" s="83" t="s">
        <v>422</v>
      </c>
      <c r="C17" s="83" t="s">
        <v>304</v>
      </c>
      <c r="D17" s="512" t="s">
        <v>34</v>
      </c>
      <c r="E17" s="512" t="s">
        <v>35</v>
      </c>
    </row>
    <row r="18" spans="1:5" x14ac:dyDescent="0.2">
      <c r="A18" s="83" t="s">
        <v>305</v>
      </c>
      <c r="B18" s="83" t="s">
        <v>419</v>
      </c>
      <c r="C18" s="83" t="s">
        <v>420</v>
      </c>
    </row>
    <row r="19" spans="1:5" x14ac:dyDescent="0.2">
      <c r="A19" s="83" t="s">
        <v>306</v>
      </c>
      <c r="B19" s="83" t="s">
        <v>307</v>
      </c>
      <c r="C19" s="83" t="s">
        <v>308</v>
      </c>
    </row>
    <row r="20" spans="1:5" x14ac:dyDescent="0.2">
      <c r="A20" s="83" t="s">
        <v>309</v>
      </c>
      <c r="B20" s="83" t="s">
        <v>1150</v>
      </c>
      <c r="C20" s="83" t="s">
        <v>1152</v>
      </c>
    </row>
    <row r="21" spans="1:5" x14ac:dyDescent="0.2">
      <c r="A21" s="83"/>
      <c r="B21" s="83" t="s">
        <v>417</v>
      </c>
      <c r="C21" s="83" t="s">
        <v>418</v>
      </c>
    </row>
    <row r="22" spans="1:5" x14ac:dyDescent="0.2">
      <c r="A22" s="83" t="s">
        <v>310</v>
      </c>
      <c r="B22" s="83" t="s">
        <v>43</v>
      </c>
      <c r="C22" s="83" t="s">
        <v>311</v>
      </c>
    </row>
    <row r="23" spans="1:5" s="47" customFormat="1" x14ac:dyDescent="0.2">
      <c r="A23" s="5" t="s">
        <v>312</v>
      </c>
      <c r="B23" s="5" t="s">
        <v>1151</v>
      </c>
      <c r="C23" s="5" t="s">
        <v>1153</v>
      </c>
    </row>
    <row r="24" spans="1:5" x14ac:dyDescent="0.2">
      <c r="A24" s="83" t="s">
        <v>313</v>
      </c>
      <c r="B24" s="83" t="s">
        <v>314</v>
      </c>
      <c r="C24" s="83" t="s">
        <v>315</v>
      </c>
    </row>
    <row r="25" spans="1:5" x14ac:dyDescent="0.2">
      <c r="A25" s="83" t="s">
        <v>316</v>
      </c>
      <c r="B25" s="83" t="s">
        <v>317</v>
      </c>
      <c r="C25" s="83" t="s">
        <v>318</v>
      </c>
    </row>
    <row r="26" spans="1:5" x14ac:dyDescent="0.2">
      <c r="A26" s="83" t="s">
        <v>319</v>
      </c>
      <c r="B26" s="83" t="s">
        <v>320</v>
      </c>
      <c r="C26" s="83" t="s">
        <v>321</v>
      </c>
    </row>
    <row r="27" spans="1:5" x14ac:dyDescent="0.2">
      <c r="A27" s="83" t="s">
        <v>322</v>
      </c>
      <c r="B27" s="83" t="s">
        <v>1154</v>
      </c>
      <c r="C27" s="83" t="s">
        <v>1155</v>
      </c>
    </row>
    <row r="28" spans="1:5" s="47" customFormat="1" x14ac:dyDescent="0.2">
      <c r="A28" s="5" t="s">
        <v>323</v>
      </c>
      <c r="B28" s="5" t="s">
        <v>1156</v>
      </c>
      <c r="C28" s="5" t="s">
        <v>1157</v>
      </c>
    </row>
    <row r="29" spans="1:5" s="47" customFormat="1" x14ac:dyDescent="0.2">
      <c r="A29" s="5" t="s">
        <v>324</v>
      </c>
      <c r="B29" s="513" t="s">
        <v>185</v>
      </c>
      <c r="C29" s="513" t="s">
        <v>186</v>
      </c>
    </row>
    <row r="30" spans="1:5" x14ac:dyDescent="0.2">
      <c r="A30" s="5"/>
      <c r="B30" s="511" t="s">
        <v>325</v>
      </c>
      <c r="C30" s="511" t="s">
        <v>326</v>
      </c>
    </row>
    <row r="31" spans="1:5" x14ac:dyDescent="0.2">
      <c r="A31" s="83"/>
      <c r="B31" s="511" t="s">
        <v>327</v>
      </c>
      <c r="C31" s="511" t="s">
        <v>328</v>
      </c>
    </row>
    <row r="32" spans="1:5" x14ac:dyDescent="0.2">
      <c r="A32" s="83" t="s">
        <v>44</v>
      </c>
      <c r="B32" s="83" t="s">
        <v>505</v>
      </c>
      <c r="C32" s="83" t="s">
        <v>508</v>
      </c>
    </row>
    <row r="33" spans="1:3" x14ac:dyDescent="0.2">
      <c r="A33" s="83" t="s">
        <v>329</v>
      </c>
      <c r="B33" s="83" t="s">
        <v>506</v>
      </c>
      <c r="C33" s="83" t="s">
        <v>507</v>
      </c>
    </row>
    <row r="34" spans="1:3" x14ac:dyDescent="0.2">
      <c r="A34" s="83" t="s">
        <v>330</v>
      </c>
      <c r="B34" s="83" t="s">
        <v>45</v>
      </c>
      <c r="C34" s="83" t="s">
        <v>60</v>
      </c>
    </row>
    <row r="35" spans="1:3" x14ac:dyDescent="0.2">
      <c r="A35" s="83" t="s">
        <v>331</v>
      </c>
      <c r="B35" s="83" t="s">
        <v>509</v>
      </c>
      <c r="C35" s="83" t="s">
        <v>510</v>
      </c>
    </row>
    <row r="36" spans="1:3" x14ac:dyDescent="0.2">
      <c r="A36" s="83" t="s">
        <v>332</v>
      </c>
      <c r="B36" s="83" t="s">
        <v>46</v>
      </c>
      <c r="C36" s="83" t="s">
        <v>61</v>
      </c>
    </row>
    <row r="37" spans="1:3" x14ac:dyDescent="0.2">
      <c r="A37" s="83" t="s">
        <v>344</v>
      </c>
      <c r="B37" s="5" t="s">
        <v>1158</v>
      </c>
      <c r="C37" s="5" t="s">
        <v>1159</v>
      </c>
    </row>
    <row r="38" spans="1:3" x14ac:dyDescent="0.2">
      <c r="A38" s="83" t="s">
        <v>345</v>
      </c>
      <c r="B38" s="83" t="s">
        <v>511</v>
      </c>
      <c r="C38" s="83" t="s">
        <v>513</v>
      </c>
    </row>
    <row r="39" spans="1:3" x14ac:dyDescent="0.2">
      <c r="A39" s="83" t="s">
        <v>348</v>
      </c>
      <c r="B39" s="83" t="s">
        <v>512</v>
      </c>
      <c r="C39" s="83" t="s">
        <v>514</v>
      </c>
    </row>
    <row r="40" spans="1:3" x14ac:dyDescent="0.2">
      <c r="A40" s="83" t="s">
        <v>349</v>
      </c>
      <c r="B40" s="83" t="s">
        <v>515</v>
      </c>
      <c r="C40" s="83" t="s">
        <v>516</v>
      </c>
    </row>
    <row r="41" spans="1:3" s="47" customFormat="1" x14ac:dyDescent="0.2">
      <c r="A41" s="83" t="s">
        <v>350</v>
      </c>
      <c r="B41" s="5" t="s">
        <v>1160</v>
      </c>
      <c r="C41" s="5" t="s">
        <v>1161</v>
      </c>
    </row>
    <row r="42" spans="1:3" x14ac:dyDescent="0.2">
      <c r="A42" s="5"/>
      <c r="B42" s="511" t="s">
        <v>346</v>
      </c>
      <c r="C42" s="511" t="s">
        <v>347</v>
      </c>
    </row>
    <row r="43" spans="1:3" x14ac:dyDescent="0.2">
      <c r="A43" s="83" t="s">
        <v>47</v>
      </c>
      <c r="B43" s="83" t="s">
        <v>423</v>
      </c>
      <c r="C43" s="83" t="s">
        <v>62</v>
      </c>
    </row>
    <row r="44" spans="1:3" x14ac:dyDescent="0.2">
      <c r="A44" s="83" t="s">
        <v>351</v>
      </c>
      <c r="B44" s="83" t="s">
        <v>517</v>
      </c>
      <c r="C44" s="83" t="s">
        <v>518</v>
      </c>
    </row>
    <row r="45" spans="1:3" x14ac:dyDescent="0.2">
      <c r="A45" s="83" t="s">
        <v>352</v>
      </c>
      <c r="B45" s="83" t="s">
        <v>519</v>
      </c>
      <c r="C45" s="83" t="s">
        <v>520</v>
      </c>
    </row>
    <row r="46" spans="1:3" x14ac:dyDescent="0.2">
      <c r="A46" s="83" t="s">
        <v>354</v>
      </c>
      <c r="B46" s="83" t="s">
        <v>521</v>
      </c>
      <c r="C46" s="83" t="s">
        <v>522</v>
      </c>
    </row>
    <row r="47" spans="1:3" x14ac:dyDescent="0.2">
      <c r="A47" s="83" t="s">
        <v>356</v>
      </c>
      <c r="B47" s="83" t="s">
        <v>48</v>
      </c>
      <c r="C47" s="83" t="s">
        <v>63</v>
      </c>
    </row>
    <row r="48" spans="1:3" x14ac:dyDescent="0.2">
      <c r="A48" s="83" t="s">
        <v>357</v>
      </c>
      <c r="B48" s="83" t="s">
        <v>353</v>
      </c>
      <c r="C48" s="83" t="s">
        <v>286</v>
      </c>
    </row>
    <row r="49" spans="1:5" x14ac:dyDescent="0.2">
      <c r="A49" s="83" t="s">
        <v>50</v>
      </c>
      <c r="B49" s="83" t="s">
        <v>355</v>
      </c>
      <c r="C49" s="83" t="s">
        <v>285</v>
      </c>
    </row>
    <row r="50" spans="1:5" x14ac:dyDescent="0.2">
      <c r="A50" s="83" t="s">
        <v>187</v>
      </c>
      <c r="B50" s="83" t="s">
        <v>424</v>
      </c>
      <c r="C50" s="83" t="s">
        <v>425</v>
      </c>
    </row>
    <row r="51" spans="1:5" x14ac:dyDescent="0.2">
      <c r="A51" s="83" t="s">
        <v>188</v>
      </c>
      <c r="B51" s="83" t="s">
        <v>49</v>
      </c>
      <c r="C51" s="83" t="s">
        <v>426</v>
      </c>
    </row>
    <row r="52" spans="1:5" s="47" customFormat="1" x14ac:dyDescent="0.2">
      <c r="A52" s="83" t="s">
        <v>189</v>
      </c>
      <c r="B52" s="5" t="s">
        <v>1162</v>
      </c>
      <c r="C52" s="5" t="s">
        <v>1163</v>
      </c>
    </row>
    <row r="53" spans="1:5" s="47" customFormat="1" ht="21" x14ac:dyDescent="0.2">
      <c r="A53" s="83" t="s">
        <v>1149</v>
      </c>
      <c r="B53" s="514" t="s">
        <v>1164</v>
      </c>
      <c r="C53" s="513" t="s">
        <v>1165</v>
      </c>
    </row>
    <row r="54" spans="1:5" x14ac:dyDescent="0.2">
      <c r="A54" s="47"/>
      <c r="B54" s="47" t="s">
        <v>1166</v>
      </c>
      <c r="C54" s="47" t="s">
        <v>1167</v>
      </c>
    </row>
    <row r="55" spans="1:5" x14ac:dyDescent="0.2">
      <c r="B55" s="510">
        <v>2</v>
      </c>
    </row>
    <row r="56" spans="1:5" x14ac:dyDescent="0.2">
      <c r="B56" s="47" t="s">
        <v>64</v>
      </c>
    </row>
    <row r="57" spans="1:5" x14ac:dyDescent="0.2">
      <c r="B57" s="47" t="s">
        <v>619</v>
      </c>
    </row>
    <row r="58" spans="1:5" x14ac:dyDescent="0.2">
      <c r="B58" s="510">
        <v>2</v>
      </c>
    </row>
    <row r="59" spans="1:5" x14ac:dyDescent="0.2">
      <c r="B59" s="47" t="s">
        <v>64</v>
      </c>
    </row>
    <row r="60" spans="1:5" x14ac:dyDescent="0.2">
      <c r="B60" s="47" t="s">
        <v>619</v>
      </c>
    </row>
    <row r="61" spans="1:5" x14ac:dyDescent="0.2">
      <c r="B61" s="47"/>
    </row>
    <row r="62" spans="1:5" x14ac:dyDescent="0.2">
      <c r="B62" s="515" t="s">
        <v>54</v>
      </c>
      <c r="C62" s="515" t="s">
        <v>55</v>
      </c>
      <c r="D62" s="510" t="s">
        <v>119</v>
      </c>
      <c r="E62" s="510" t="s">
        <v>124</v>
      </c>
    </row>
    <row r="63" spans="1:5" x14ac:dyDescent="0.2">
      <c r="B63" s="515" t="s">
        <v>57</v>
      </c>
      <c r="C63" s="515" t="s">
        <v>56</v>
      </c>
      <c r="D63" s="510" t="s">
        <v>123</v>
      </c>
      <c r="E63" s="510" t="s">
        <v>125</v>
      </c>
    </row>
    <row r="64" spans="1:5" x14ac:dyDescent="0.2">
      <c r="B64" s="47" t="s">
        <v>58</v>
      </c>
      <c r="C64" s="47" t="s">
        <v>59</v>
      </c>
      <c r="D64" s="510" t="s">
        <v>743</v>
      </c>
      <c r="E64" s="510" t="s">
        <v>468</v>
      </c>
    </row>
    <row r="65" spans="1:5" x14ac:dyDescent="0.2">
      <c r="B65" s="515" t="s">
        <v>287</v>
      </c>
      <c r="C65" s="515" t="s">
        <v>288</v>
      </c>
      <c r="D65" s="510" t="s">
        <v>121</v>
      </c>
      <c r="E65" s="510" t="s">
        <v>127</v>
      </c>
    </row>
    <row r="66" spans="1:5" x14ac:dyDescent="0.2">
      <c r="B66" s="515" t="s">
        <v>51</v>
      </c>
      <c r="C66" s="515" t="s">
        <v>358</v>
      </c>
      <c r="D66" s="510" t="s">
        <v>122</v>
      </c>
      <c r="E66" s="510" t="s">
        <v>126</v>
      </c>
    </row>
    <row r="67" spans="1:5" x14ac:dyDescent="0.2">
      <c r="B67" s="47" t="s">
        <v>966</v>
      </c>
      <c r="C67" s="47" t="s">
        <v>967</v>
      </c>
    </row>
    <row r="68" spans="1:5" x14ac:dyDescent="0.2">
      <c r="B68" s="47" t="s">
        <v>968</v>
      </c>
      <c r="C68" s="47" t="s">
        <v>970</v>
      </c>
    </row>
    <row r="69" spans="1:5" x14ac:dyDescent="0.2">
      <c r="A69" s="516"/>
      <c r="B69" s="511" t="s">
        <v>359</v>
      </c>
      <c r="C69" s="511" t="s">
        <v>360</v>
      </c>
    </row>
    <row r="70" spans="1:5" x14ac:dyDescent="0.2">
      <c r="A70" s="83" t="s">
        <v>361</v>
      </c>
      <c r="B70" s="83" t="s">
        <v>362</v>
      </c>
      <c r="C70" s="83" t="s">
        <v>363</v>
      </c>
      <c r="D70" s="512" t="s">
        <v>34</v>
      </c>
      <c r="E70" s="512" t="s">
        <v>35</v>
      </c>
    </row>
    <row r="71" spans="1:5" x14ac:dyDescent="0.2">
      <c r="A71" s="83" t="s">
        <v>364</v>
      </c>
      <c r="B71" s="83" t="s">
        <v>368</v>
      </c>
      <c r="C71" s="83" t="s">
        <v>369</v>
      </c>
    </row>
    <row r="72" spans="1:5" x14ac:dyDescent="0.2">
      <c r="A72" s="83" t="s">
        <v>367</v>
      </c>
      <c r="B72" s="83" t="s">
        <v>365</v>
      </c>
      <c r="C72" s="83" t="s">
        <v>366</v>
      </c>
      <c r="D72" s="83"/>
    </row>
    <row r="73" spans="1:5" x14ac:dyDescent="0.2">
      <c r="A73" s="83" t="s">
        <v>370</v>
      </c>
      <c r="B73" s="83" t="s">
        <v>66</v>
      </c>
      <c r="C73" s="83" t="s">
        <v>67</v>
      </c>
      <c r="D73" s="83"/>
    </row>
    <row r="74" spans="1:5" x14ac:dyDescent="0.2">
      <c r="A74" s="83" t="s">
        <v>371</v>
      </c>
      <c r="B74" s="517" t="s">
        <v>382</v>
      </c>
      <c r="C74" s="517" t="s">
        <v>383</v>
      </c>
    </row>
    <row r="75" spans="1:5" x14ac:dyDescent="0.2">
      <c r="A75" s="5"/>
      <c r="B75" s="511" t="s">
        <v>384</v>
      </c>
      <c r="C75" s="511" t="s">
        <v>385</v>
      </c>
    </row>
    <row r="76" spans="1:5" x14ac:dyDescent="0.2">
      <c r="A76" s="83" t="s">
        <v>386</v>
      </c>
      <c r="B76" s="83" t="s">
        <v>362</v>
      </c>
      <c r="C76" s="83" t="s">
        <v>387</v>
      </c>
    </row>
    <row r="77" spans="1:5" x14ac:dyDescent="0.2">
      <c r="A77" s="83" t="s">
        <v>388</v>
      </c>
      <c r="B77" s="83" t="s">
        <v>389</v>
      </c>
      <c r="C77" s="83" t="s">
        <v>390</v>
      </c>
    </row>
    <row r="78" spans="1:5" x14ac:dyDescent="0.2">
      <c r="A78" s="83" t="s">
        <v>391</v>
      </c>
      <c r="B78" s="83" t="s">
        <v>68</v>
      </c>
      <c r="C78" s="83" t="s">
        <v>132</v>
      </c>
    </row>
    <row r="79" spans="1:5" x14ac:dyDescent="0.2">
      <c r="A79" s="83" t="s">
        <v>392</v>
      </c>
      <c r="B79" s="517" t="s">
        <v>393</v>
      </c>
      <c r="C79" s="517" t="s">
        <v>394</v>
      </c>
    </row>
    <row r="80" spans="1:5" x14ac:dyDescent="0.2">
      <c r="A80" s="83" t="s">
        <v>395</v>
      </c>
      <c r="B80" s="5" t="s">
        <v>396</v>
      </c>
      <c r="C80" s="5" t="s">
        <v>397</v>
      </c>
    </row>
    <row r="81" spans="1:3" x14ac:dyDescent="0.2">
      <c r="A81" s="83" t="s">
        <v>398</v>
      </c>
      <c r="B81" s="83" t="s">
        <v>399</v>
      </c>
      <c r="C81" s="83" t="s">
        <v>400</v>
      </c>
    </row>
    <row r="82" spans="1:3" x14ac:dyDescent="0.2">
      <c r="A82" s="83" t="s">
        <v>401</v>
      </c>
      <c r="B82" s="517" t="s">
        <v>52</v>
      </c>
      <c r="C82" s="517" t="s">
        <v>402</v>
      </c>
    </row>
    <row r="83" spans="1:3" x14ac:dyDescent="0.2">
      <c r="A83" s="5"/>
      <c r="B83" s="511" t="s">
        <v>403</v>
      </c>
      <c r="C83" s="511" t="s">
        <v>404</v>
      </c>
    </row>
    <row r="84" spans="1:3" x14ac:dyDescent="0.2">
      <c r="A84" s="83" t="s">
        <v>405</v>
      </c>
      <c r="B84" s="83" t="s">
        <v>53</v>
      </c>
      <c r="C84" s="83" t="s">
        <v>133</v>
      </c>
    </row>
    <row r="85" spans="1:3" x14ac:dyDescent="0.2">
      <c r="A85" s="83" t="s">
        <v>406</v>
      </c>
      <c r="B85" s="83" t="s">
        <v>941</v>
      </c>
      <c r="C85" s="83" t="s">
        <v>942</v>
      </c>
    </row>
    <row r="86" spans="1:3" x14ac:dyDescent="0.2">
      <c r="A86" s="83" t="s">
        <v>407</v>
      </c>
      <c r="B86" s="83" t="s">
        <v>944</v>
      </c>
      <c r="C86" s="83" t="s">
        <v>945</v>
      </c>
    </row>
    <row r="87" spans="1:3" x14ac:dyDescent="0.2">
      <c r="A87" s="83" t="s">
        <v>407</v>
      </c>
      <c r="B87" s="83" t="s">
        <v>943</v>
      </c>
      <c r="C87" s="83" t="s">
        <v>946</v>
      </c>
    </row>
    <row r="88" spans="1:3" x14ac:dyDescent="0.2">
      <c r="A88" s="83" t="s">
        <v>408</v>
      </c>
      <c r="B88" s="517" t="s">
        <v>947</v>
      </c>
      <c r="C88" s="517" t="s">
        <v>948</v>
      </c>
    </row>
    <row r="89" spans="1:3" x14ac:dyDescent="0.2">
      <c r="A89" s="83" t="s">
        <v>409</v>
      </c>
      <c r="B89" s="518" t="s">
        <v>964</v>
      </c>
      <c r="C89" s="518" t="s">
        <v>965</v>
      </c>
    </row>
    <row r="90" spans="1:3" x14ac:dyDescent="0.2">
      <c r="A90" s="83"/>
      <c r="B90" s="83" t="s">
        <v>949</v>
      </c>
      <c r="C90" s="518" t="s">
        <v>950</v>
      </c>
    </row>
    <row r="91" spans="1:3" x14ac:dyDescent="0.2">
      <c r="A91" s="83" t="s">
        <v>410</v>
      </c>
      <c r="B91" s="83" t="s">
        <v>959</v>
      </c>
      <c r="C91" s="83" t="s">
        <v>951</v>
      </c>
    </row>
    <row r="92" spans="1:3" x14ac:dyDescent="0.2">
      <c r="A92" s="83"/>
      <c r="B92" s="83" t="s">
        <v>276</v>
      </c>
      <c r="C92" s="83" t="s">
        <v>952</v>
      </c>
    </row>
    <row r="93" spans="1:3" x14ac:dyDescent="0.2">
      <c r="A93" s="83" t="s">
        <v>411</v>
      </c>
      <c r="B93" s="83" t="s">
        <v>277</v>
      </c>
      <c r="C93" s="83" t="s">
        <v>954</v>
      </c>
    </row>
    <row r="94" spans="1:3" x14ac:dyDescent="0.2">
      <c r="A94" s="83"/>
      <c r="B94" s="83" t="s">
        <v>955</v>
      </c>
      <c r="C94" s="83" t="s">
        <v>953</v>
      </c>
    </row>
    <row r="95" spans="1:3" x14ac:dyDescent="0.2">
      <c r="A95" s="83"/>
      <c r="B95" s="5" t="s">
        <v>957</v>
      </c>
      <c r="C95" s="5" t="s">
        <v>958</v>
      </c>
    </row>
    <row r="96" spans="1:3" x14ac:dyDescent="0.2">
      <c r="A96" s="83" t="s">
        <v>412</v>
      </c>
      <c r="B96" s="518" t="s">
        <v>960</v>
      </c>
      <c r="C96" s="518" t="s">
        <v>961</v>
      </c>
    </row>
    <row r="97" spans="1:5" x14ac:dyDescent="0.2">
      <c r="A97" s="5" t="s">
        <v>414</v>
      </c>
      <c r="B97" s="47" t="s">
        <v>294</v>
      </c>
      <c r="C97" s="47" t="s">
        <v>413</v>
      </c>
    </row>
    <row r="98" spans="1:5" x14ac:dyDescent="0.2">
      <c r="A98" s="5" t="s">
        <v>415</v>
      </c>
      <c r="B98" s="47" t="s">
        <v>962</v>
      </c>
      <c r="C98" s="5" t="s">
        <v>963</v>
      </c>
    </row>
    <row r="100" spans="1:5" x14ac:dyDescent="0.2">
      <c r="B100" s="519" t="s">
        <v>290</v>
      </c>
      <c r="C100" s="519" t="s">
        <v>289</v>
      </c>
    </row>
    <row r="101" spans="1:5" x14ac:dyDescent="0.2">
      <c r="B101" s="519" t="s">
        <v>292</v>
      </c>
      <c r="C101" s="520" t="s">
        <v>291</v>
      </c>
    </row>
    <row r="102" spans="1:5" x14ac:dyDescent="0.2">
      <c r="B102" s="519" t="s">
        <v>293</v>
      </c>
      <c r="C102" s="520" t="s">
        <v>460</v>
      </c>
    </row>
    <row r="103" spans="1:5" x14ac:dyDescent="0.2">
      <c r="B103" s="47" t="s">
        <v>567</v>
      </c>
      <c r="C103" s="47" t="s">
        <v>568</v>
      </c>
    </row>
    <row r="104" spans="1:5" x14ac:dyDescent="0.2">
      <c r="B104" s="83"/>
      <c r="C104" s="83"/>
    </row>
    <row r="105" spans="1:5" x14ac:dyDescent="0.2">
      <c r="B105" s="510">
        <v>2</v>
      </c>
    </row>
    <row r="106" spans="1:5" x14ac:dyDescent="0.2">
      <c r="B106" s="47" t="s">
        <v>64</v>
      </c>
      <c r="C106" s="510" t="s">
        <v>202</v>
      </c>
      <c r="D106" s="510" t="s">
        <v>203</v>
      </c>
    </row>
    <row r="107" spans="1:5" x14ac:dyDescent="0.2">
      <c r="B107" s="47" t="s">
        <v>619</v>
      </c>
      <c r="C107" s="510" t="s">
        <v>776</v>
      </c>
      <c r="D107" s="510" t="s">
        <v>775</v>
      </c>
    </row>
    <row r="108" spans="1:5" x14ac:dyDescent="0.2">
      <c r="B108" s="47"/>
    </row>
    <row r="109" spans="1:5" x14ac:dyDescent="0.2">
      <c r="B109" s="521" t="s">
        <v>201</v>
      </c>
      <c r="D109" s="521" t="s">
        <v>200</v>
      </c>
    </row>
    <row r="110" spans="1:5" x14ac:dyDescent="0.2">
      <c r="B110" s="522" t="s">
        <v>427</v>
      </c>
      <c r="C110" s="522"/>
      <c r="D110" s="522" t="s">
        <v>141</v>
      </c>
      <c r="E110" s="523"/>
    </row>
    <row r="111" spans="1:5" x14ac:dyDescent="0.2">
      <c r="B111" s="1108" t="s">
        <v>977</v>
      </c>
      <c r="C111" s="525" t="s">
        <v>429</v>
      </c>
      <c r="D111" s="1108" t="s">
        <v>978</v>
      </c>
      <c r="E111" s="525" t="s">
        <v>139</v>
      </c>
    </row>
    <row r="112" spans="1:5" ht="33.75" x14ac:dyDescent="0.2">
      <c r="B112" s="1108"/>
      <c r="C112" s="526" t="s">
        <v>136</v>
      </c>
      <c r="D112" s="1108"/>
      <c r="E112" s="526" t="s">
        <v>140</v>
      </c>
    </row>
    <row r="113" spans="2:5" x14ac:dyDescent="0.2">
      <c r="B113" s="1108" t="s">
        <v>569</v>
      </c>
      <c r="C113" s="525" t="s">
        <v>571</v>
      </c>
      <c r="D113" s="1108" t="s">
        <v>570</v>
      </c>
      <c r="E113" s="525" t="s">
        <v>572</v>
      </c>
    </row>
    <row r="114" spans="2:5" ht="33.75" x14ac:dyDescent="0.2">
      <c r="B114" s="1108"/>
      <c r="C114" s="526" t="s">
        <v>136</v>
      </c>
      <c r="D114" s="1108"/>
      <c r="E114" s="526" t="s">
        <v>140</v>
      </c>
    </row>
    <row r="115" spans="2:5" x14ac:dyDescent="0.2">
      <c r="B115" s="1109" t="s">
        <v>430</v>
      </c>
      <c r="C115" s="525" t="s">
        <v>431</v>
      </c>
      <c r="D115" s="1109" t="s">
        <v>137</v>
      </c>
      <c r="E115" s="525" t="s">
        <v>139</v>
      </c>
    </row>
    <row r="116" spans="2:5" ht="33.75" x14ac:dyDescent="0.2">
      <c r="B116" s="1109"/>
      <c r="C116" s="526" t="s">
        <v>432</v>
      </c>
      <c r="D116" s="1109"/>
      <c r="E116" s="526" t="s">
        <v>142</v>
      </c>
    </row>
    <row r="117" spans="2:5" x14ac:dyDescent="0.2">
      <c r="B117" s="1108" t="s">
        <v>280</v>
      </c>
      <c r="C117" s="525" t="s">
        <v>434</v>
      </c>
      <c r="D117" s="1108" t="s">
        <v>138</v>
      </c>
      <c r="E117" s="525" t="s">
        <v>143</v>
      </c>
    </row>
    <row r="118" spans="2:5" ht="22.5" x14ac:dyDescent="0.2">
      <c r="B118" s="1108"/>
      <c r="C118" s="526" t="s">
        <v>435</v>
      </c>
      <c r="D118" s="1108"/>
      <c r="E118" s="526" t="s">
        <v>144</v>
      </c>
    </row>
    <row r="119" spans="2:5" x14ac:dyDescent="0.2">
      <c r="B119" s="1109" t="s">
        <v>281</v>
      </c>
      <c r="C119" s="525" t="s">
        <v>436</v>
      </c>
      <c r="D119" s="1109" t="s">
        <v>145</v>
      </c>
      <c r="E119" s="525" t="s">
        <v>146</v>
      </c>
    </row>
    <row r="120" spans="2:5" ht="22.5" x14ac:dyDescent="0.2">
      <c r="B120" s="1109"/>
      <c r="C120" s="526" t="s">
        <v>437</v>
      </c>
      <c r="D120" s="1109"/>
      <c r="E120" s="526" t="s">
        <v>147</v>
      </c>
    </row>
    <row r="121" spans="2:5" x14ac:dyDescent="0.2">
      <c r="B121" s="1108" t="s">
        <v>282</v>
      </c>
      <c r="C121" s="525" t="s">
        <v>434</v>
      </c>
      <c r="D121" s="1108" t="s">
        <v>148</v>
      </c>
      <c r="E121" s="525" t="s">
        <v>143</v>
      </c>
    </row>
    <row r="122" spans="2:5" x14ac:dyDescent="0.2">
      <c r="B122" s="1108"/>
      <c r="C122" s="526" t="s">
        <v>439</v>
      </c>
      <c r="D122" s="1108"/>
      <c r="E122" s="526" t="s">
        <v>149</v>
      </c>
    </row>
    <row r="123" spans="2:5" x14ac:dyDescent="0.2">
      <c r="B123" s="1109" t="s">
        <v>283</v>
      </c>
      <c r="C123" s="525" t="s">
        <v>436</v>
      </c>
      <c r="D123" s="1109" t="s">
        <v>150</v>
      </c>
      <c r="E123" s="525" t="s">
        <v>146</v>
      </c>
    </row>
    <row r="124" spans="2:5" x14ac:dyDescent="0.2">
      <c r="B124" s="1109"/>
      <c r="C124" s="526" t="s">
        <v>440</v>
      </c>
      <c r="D124" s="1109"/>
      <c r="E124" s="526" t="s">
        <v>151</v>
      </c>
    </row>
    <row r="125" spans="2:5" x14ac:dyDescent="0.2">
      <c r="B125" s="522" t="s">
        <v>441</v>
      </c>
      <c r="C125" s="523"/>
      <c r="D125" s="522" t="s">
        <v>152</v>
      </c>
      <c r="E125" s="523"/>
    </row>
    <row r="126" spans="2:5" ht="22.5" x14ac:dyDescent="0.2">
      <c r="B126" s="1108" t="s">
        <v>560</v>
      </c>
      <c r="C126" s="525" t="s">
        <v>562</v>
      </c>
      <c r="D126" s="1108" t="s">
        <v>561</v>
      </c>
      <c r="E126" s="525" t="s">
        <v>566</v>
      </c>
    </row>
    <row r="127" spans="2:5" x14ac:dyDescent="0.2">
      <c r="B127" s="1108"/>
      <c r="C127" s="526" t="s">
        <v>444</v>
      </c>
      <c r="D127" s="1108"/>
      <c r="E127" s="526" t="s">
        <v>155</v>
      </c>
    </row>
    <row r="128" spans="2:5" ht="22.5" x14ac:dyDescent="0.2">
      <c r="B128" s="1108" t="s">
        <v>563</v>
      </c>
      <c r="C128" s="525" t="s">
        <v>443</v>
      </c>
      <c r="D128" s="1108" t="s">
        <v>564</v>
      </c>
      <c r="E128" s="525" t="s">
        <v>565</v>
      </c>
    </row>
    <row r="129" spans="2:5" x14ac:dyDescent="0.2">
      <c r="B129" s="1108"/>
      <c r="C129" s="526" t="s">
        <v>444</v>
      </c>
      <c r="D129" s="1108"/>
      <c r="E129" s="526" t="s">
        <v>155</v>
      </c>
    </row>
    <row r="130" spans="2:5" x14ac:dyDescent="0.2">
      <c r="B130" s="1108" t="s">
        <v>445</v>
      </c>
      <c r="C130" s="525" t="s">
        <v>447</v>
      </c>
      <c r="D130" s="1108" t="s">
        <v>156</v>
      </c>
      <c r="E130" s="525" t="s">
        <v>157</v>
      </c>
    </row>
    <row r="131" spans="2:5" x14ac:dyDescent="0.2">
      <c r="B131" s="1108"/>
      <c r="C131" s="526" t="s">
        <v>448</v>
      </c>
      <c r="D131" s="1108"/>
      <c r="E131" s="526" t="s">
        <v>158</v>
      </c>
    </row>
    <row r="132" spans="2:5" x14ac:dyDescent="0.2">
      <c r="B132" s="1108" t="s">
        <v>278</v>
      </c>
      <c r="C132" s="525" t="s">
        <v>450</v>
      </c>
      <c r="D132" s="1108" t="s">
        <v>159</v>
      </c>
      <c r="E132" s="525" t="s">
        <v>160</v>
      </c>
    </row>
    <row r="133" spans="2:5" ht="22.5" x14ac:dyDescent="0.2">
      <c r="B133" s="1108"/>
      <c r="C133" s="526" t="s">
        <v>451</v>
      </c>
      <c r="D133" s="1108"/>
      <c r="E133" s="526" t="s">
        <v>161</v>
      </c>
    </row>
    <row r="134" spans="2:5" ht="22.5" x14ac:dyDescent="0.2">
      <c r="B134" s="1109" t="s">
        <v>279</v>
      </c>
      <c r="C134" s="525" t="s">
        <v>452</v>
      </c>
      <c r="D134" s="1109" t="s">
        <v>162</v>
      </c>
      <c r="E134" s="525" t="s">
        <v>163</v>
      </c>
    </row>
    <row r="135" spans="2:5" ht="22.5" x14ac:dyDescent="0.2">
      <c r="B135" s="1109"/>
      <c r="C135" s="526" t="s">
        <v>451</v>
      </c>
      <c r="D135" s="1109"/>
      <c r="E135" s="526" t="s">
        <v>161</v>
      </c>
    </row>
    <row r="136" spans="2:5" x14ac:dyDescent="0.2">
      <c r="B136" s="1108" t="s">
        <v>453</v>
      </c>
      <c r="C136" s="525" t="s">
        <v>455</v>
      </c>
      <c r="D136" s="1108" t="s">
        <v>164</v>
      </c>
      <c r="E136" s="525" t="s">
        <v>165</v>
      </c>
    </row>
    <row r="137" spans="2:5" x14ac:dyDescent="0.2">
      <c r="B137" s="1108"/>
      <c r="C137" s="526" t="s">
        <v>456</v>
      </c>
      <c r="D137" s="1108"/>
      <c r="E137" s="526" t="s">
        <v>166</v>
      </c>
    </row>
    <row r="138" spans="2:5" x14ac:dyDescent="0.2">
      <c r="B138" s="1108" t="s">
        <v>574</v>
      </c>
      <c r="C138" s="525" t="s">
        <v>575</v>
      </c>
      <c r="D138" s="1108" t="s">
        <v>573</v>
      </c>
      <c r="E138" s="525" t="s">
        <v>576</v>
      </c>
    </row>
    <row r="139" spans="2:5" x14ac:dyDescent="0.2">
      <c r="B139" s="1108"/>
      <c r="C139" s="526" t="s">
        <v>456</v>
      </c>
      <c r="D139" s="1108"/>
      <c r="E139" s="526" t="s">
        <v>166</v>
      </c>
    </row>
    <row r="140" spans="2:5" x14ac:dyDescent="0.2">
      <c r="B140" s="1109" t="s">
        <v>457</v>
      </c>
      <c r="C140" s="525" t="s">
        <v>455</v>
      </c>
      <c r="D140" s="1109" t="s">
        <v>167</v>
      </c>
      <c r="E140" s="525" t="s">
        <v>165</v>
      </c>
    </row>
    <row r="141" spans="2:5" x14ac:dyDescent="0.2">
      <c r="B141" s="1109"/>
      <c r="C141" s="526" t="s">
        <v>458</v>
      </c>
      <c r="D141" s="1109"/>
      <c r="E141" s="526" t="s">
        <v>168</v>
      </c>
    </row>
    <row r="142" spans="2:5" ht="33.75" x14ac:dyDescent="0.2">
      <c r="B142" s="1108" t="s">
        <v>459</v>
      </c>
      <c r="C142" s="525" t="s">
        <v>205</v>
      </c>
      <c r="D142" s="1108" t="s">
        <v>169</v>
      </c>
      <c r="E142" s="525" t="s">
        <v>170</v>
      </c>
    </row>
    <row r="143" spans="2:5" ht="56.25" x14ac:dyDescent="0.2">
      <c r="B143" s="1108"/>
      <c r="C143" s="526" t="s">
        <v>206</v>
      </c>
      <c r="D143" s="1108"/>
      <c r="E143" s="526" t="s">
        <v>171</v>
      </c>
    </row>
    <row r="144" spans="2:5" x14ac:dyDescent="0.2">
      <c r="B144" s="1108" t="s">
        <v>979</v>
      </c>
      <c r="C144" s="526" t="s">
        <v>980</v>
      </c>
      <c r="D144" s="1108" t="s">
        <v>981</v>
      </c>
      <c r="E144" s="526" t="s">
        <v>982</v>
      </c>
    </row>
    <row r="145" spans="2:5" x14ac:dyDescent="0.2">
      <c r="B145" s="1108"/>
      <c r="C145" s="526" t="s">
        <v>983</v>
      </c>
      <c r="D145" s="1108"/>
      <c r="E145" s="526" t="s">
        <v>158</v>
      </c>
    </row>
    <row r="146" spans="2:5" x14ac:dyDescent="0.2">
      <c r="B146" s="522" t="s">
        <v>985</v>
      </c>
      <c r="C146" s="523"/>
      <c r="D146" s="522" t="s">
        <v>986</v>
      </c>
      <c r="E146" s="526"/>
    </row>
    <row r="147" spans="2:5" ht="22.5" x14ac:dyDescent="0.2">
      <c r="B147" s="1108" t="s">
        <v>284</v>
      </c>
      <c r="C147" s="525" t="s">
        <v>562</v>
      </c>
      <c r="D147" s="1108" t="s">
        <v>987</v>
      </c>
      <c r="E147" s="525" t="s">
        <v>566</v>
      </c>
    </row>
    <row r="148" spans="2:5" x14ac:dyDescent="0.2">
      <c r="B148" s="1108"/>
      <c r="C148" s="526" t="s">
        <v>444</v>
      </c>
      <c r="D148" s="1108"/>
      <c r="E148" s="526" t="s">
        <v>155</v>
      </c>
    </row>
    <row r="149" spans="2:5" x14ac:dyDescent="0.2">
      <c r="B149" s="1108" t="s">
        <v>988</v>
      </c>
      <c r="C149" s="526" t="s">
        <v>992</v>
      </c>
      <c r="D149" s="1108" t="s">
        <v>976</v>
      </c>
      <c r="E149" s="526" t="s">
        <v>997</v>
      </c>
    </row>
    <row r="150" spans="2:5" x14ac:dyDescent="0.2">
      <c r="B150" s="1108"/>
      <c r="C150" s="526" t="s">
        <v>444</v>
      </c>
      <c r="D150" s="1108"/>
      <c r="E150" s="526" t="s">
        <v>155</v>
      </c>
    </row>
    <row r="151" spans="2:5" x14ac:dyDescent="0.2">
      <c r="B151" s="1108" t="s">
        <v>989</v>
      </c>
      <c r="C151" s="526" t="s">
        <v>993</v>
      </c>
      <c r="D151" s="1108" t="s">
        <v>179</v>
      </c>
      <c r="E151" s="526" t="s">
        <v>998</v>
      </c>
    </row>
    <row r="152" spans="2:5" x14ac:dyDescent="0.2">
      <c r="B152" s="1108"/>
      <c r="C152" s="526" t="s">
        <v>444</v>
      </c>
      <c r="D152" s="1108"/>
      <c r="E152" s="526" t="s">
        <v>155</v>
      </c>
    </row>
    <row r="153" spans="2:5" x14ac:dyDescent="0.2">
      <c r="B153" s="1108" t="s">
        <v>990</v>
      </c>
      <c r="C153" s="526" t="s">
        <v>994</v>
      </c>
      <c r="D153" s="1108" t="s">
        <v>995</v>
      </c>
      <c r="E153" s="526" t="s">
        <v>999</v>
      </c>
    </row>
    <row r="154" spans="2:5" x14ac:dyDescent="0.2">
      <c r="B154" s="1108"/>
      <c r="C154" s="526" t="s">
        <v>444</v>
      </c>
      <c r="D154" s="1108"/>
      <c r="E154" s="526" t="s">
        <v>155</v>
      </c>
    </row>
    <row r="155" spans="2:5" x14ac:dyDescent="0.2">
      <c r="B155" s="522" t="s">
        <v>991</v>
      </c>
      <c r="C155" s="526"/>
      <c r="D155" s="524" t="s">
        <v>996</v>
      </c>
      <c r="E155" s="526"/>
    </row>
    <row r="156" spans="2:5" x14ac:dyDescent="0.2">
      <c r="B156" s="522" t="s">
        <v>207</v>
      </c>
      <c r="C156" s="523"/>
      <c r="D156" s="522" t="s">
        <v>199</v>
      </c>
      <c r="E156" s="523"/>
    </row>
    <row r="157" spans="2:5" ht="22.5" x14ac:dyDescent="0.2">
      <c r="B157" s="1108" t="s">
        <v>1001</v>
      </c>
      <c r="C157" s="525" t="s">
        <v>209</v>
      </c>
      <c r="D157" s="1108" t="s">
        <v>1002</v>
      </c>
      <c r="E157" s="525" t="s">
        <v>172</v>
      </c>
    </row>
    <row r="158" spans="2:5" x14ac:dyDescent="0.2">
      <c r="B158" s="1108"/>
      <c r="C158" s="526" t="s">
        <v>447</v>
      </c>
      <c r="D158" s="1108"/>
      <c r="E158" s="526" t="s">
        <v>157</v>
      </c>
    </row>
    <row r="159" spans="2:5" x14ac:dyDescent="0.2">
      <c r="B159" s="527" t="s">
        <v>1003</v>
      </c>
      <c r="C159" s="525" t="s">
        <v>1004</v>
      </c>
      <c r="D159" s="527" t="s">
        <v>1007</v>
      </c>
      <c r="E159" s="525" t="s">
        <v>1008</v>
      </c>
    </row>
    <row r="160" spans="2:5" ht="22.5" x14ac:dyDescent="0.2">
      <c r="B160" s="527" t="s">
        <v>1005</v>
      </c>
      <c r="C160" s="526" t="s">
        <v>1006</v>
      </c>
      <c r="D160" s="527" t="s">
        <v>1030</v>
      </c>
      <c r="E160" s="526" t="s">
        <v>1009</v>
      </c>
    </row>
    <row r="161" spans="2:5" x14ac:dyDescent="0.2">
      <c r="B161" s="528" t="s">
        <v>1010</v>
      </c>
      <c r="C161" s="529" t="s">
        <v>1015</v>
      </c>
      <c r="D161" s="528" t="s">
        <v>1020</v>
      </c>
      <c r="E161" s="529" t="s">
        <v>1025</v>
      </c>
    </row>
    <row r="162" spans="2:5" x14ac:dyDescent="0.2">
      <c r="B162" s="528" t="s">
        <v>1011</v>
      </c>
      <c r="C162" s="529" t="s">
        <v>1016</v>
      </c>
      <c r="D162" s="528" t="s">
        <v>1021</v>
      </c>
      <c r="E162" s="529" t="s">
        <v>1026</v>
      </c>
    </row>
    <row r="163" spans="2:5" x14ac:dyDescent="0.2">
      <c r="B163" s="528" t="s">
        <v>1012</v>
      </c>
      <c r="C163" s="529" t="s">
        <v>1017</v>
      </c>
      <c r="D163" s="528" t="s">
        <v>1022</v>
      </c>
      <c r="E163" s="529" t="s">
        <v>1027</v>
      </c>
    </row>
    <row r="164" spans="2:5" x14ac:dyDescent="0.2">
      <c r="B164" s="528" t="s">
        <v>1013</v>
      </c>
      <c r="C164" s="529" t="s">
        <v>1018</v>
      </c>
      <c r="D164" s="528" t="s">
        <v>1023</v>
      </c>
      <c r="E164" s="529" t="s">
        <v>1028</v>
      </c>
    </row>
    <row r="165" spans="2:5" x14ac:dyDescent="0.2">
      <c r="B165" s="528" t="s">
        <v>1014</v>
      </c>
      <c r="C165" s="529" t="s">
        <v>1019</v>
      </c>
      <c r="D165" s="528" t="s">
        <v>1024</v>
      </c>
      <c r="E165" s="529" t="s">
        <v>1029</v>
      </c>
    </row>
    <row r="166" spans="2:5" x14ac:dyDescent="0.2">
      <c r="B166" s="1108" t="s">
        <v>210</v>
      </c>
      <c r="C166" s="525" t="s">
        <v>212</v>
      </c>
      <c r="D166" s="1108" t="s">
        <v>173</v>
      </c>
      <c r="E166" s="525" t="s">
        <v>174</v>
      </c>
    </row>
    <row r="167" spans="2:5" x14ac:dyDescent="0.2">
      <c r="B167" s="1108"/>
      <c r="C167" s="526" t="s">
        <v>444</v>
      </c>
      <c r="D167" s="1108"/>
      <c r="E167" s="526" t="s">
        <v>155</v>
      </c>
    </row>
    <row r="168" spans="2:5" x14ac:dyDescent="0.2">
      <c r="B168" s="1108" t="s">
        <v>214</v>
      </c>
      <c r="C168" s="525" t="s">
        <v>240</v>
      </c>
      <c r="D168" s="1108" t="s">
        <v>176</v>
      </c>
      <c r="E168" s="525" t="s">
        <v>177</v>
      </c>
    </row>
    <row r="169" spans="2:5" ht="22.5" x14ac:dyDescent="0.2">
      <c r="B169" s="1108"/>
      <c r="C169" s="526" t="s">
        <v>241</v>
      </c>
      <c r="D169" s="1108"/>
      <c r="E169" s="525" t="s">
        <v>172</v>
      </c>
    </row>
    <row r="170" spans="2:5" x14ac:dyDescent="0.2">
      <c r="B170" s="522" t="s">
        <v>242</v>
      </c>
      <c r="C170" s="523"/>
      <c r="D170" s="522" t="s">
        <v>178</v>
      </c>
      <c r="E170" s="523"/>
    </row>
    <row r="171" spans="2:5" ht="22.5" x14ac:dyDescent="0.2">
      <c r="B171" s="1108" t="s">
        <v>1053</v>
      </c>
      <c r="C171" s="525" t="s">
        <v>1054</v>
      </c>
      <c r="D171" s="1108" t="s">
        <v>1055</v>
      </c>
      <c r="E171" s="525" t="s">
        <v>1056</v>
      </c>
    </row>
    <row r="172" spans="2:5" x14ac:dyDescent="0.2">
      <c r="B172" s="1108"/>
      <c r="C172" s="526" t="s">
        <v>444</v>
      </c>
      <c r="D172" s="1108"/>
      <c r="E172" s="526" t="s">
        <v>155</v>
      </c>
    </row>
    <row r="173" spans="2:5" x14ac:dyDescent="0.2">
      <c r="B173" s="1109" t="s">
        <v>245</v>
      </c>
      <c r="C173" s="525" t="s">
        <v>246</v>
      </c>
      <c r="D173" s="1108" t="s">
        <v>180</v>
      </c>
      <c r="E173" s="525" t="s">
        <v>181</v>
      </c>
    </row>
    <row r="174" spans="2:5" x14ac:dyDescent="0.2">
      <c r="B174" s="1109"/>
      <c r="C174" s="526" t="s">
        <v>213</v>
      </c>
      <c r="D174" s="1108"/>
      <c r="E174" s="526" t="s">
        <v>175</v>
      </c>
    </row>
    <row r="175" spans="2:5" ht="22.5" x14ac:dyDescent="0.2">
      <c r="B175" s="524" t="s">
        <v>1034</v>
      </c>
      <c r="C175" s="530" t="s">
        <v>1033</v>
      </c>
      <c r="D175" s="524" t="s">
        <v>1037</v>
      </c>
      <c r="E175" s="530" t="s">
        <v>1040</v>
      </c>
    </row>
    <row r="176" spans="2:5" ht="22.5" x14ac:dyDescent="0.2">
      <c r="B176" s="524" t="s">
        <v>1035</v>
      </c>
      <c r="C176" s="530" t="s">
        <v>1036</v>
      </c>
      <c r="D176" s="524" t="s">
        <v>1038</v>
      </c>
      <c r="E176" s="531" t="s">
        <v>1039</v>
      </c>
    </row>
    <row r="177" spans="2:5" ht="22.5" x14ac:dyDescent="0.2">
      <c r="B177" s="524" t="s">
        <v>1119</v>
      </c>
      <c r="C177" s="532" t="s">
        <v>1119</v>
      </c>
      <c r="D177" s="524" t="s">
        <v>1120</v>
      </c>
      <c r="E177" s="532" t="s">
        <v>1120</v>
      </c>
    </row>
    <row r="178" spans="2:5" x14ac:dyDescent="0.2">
      <c r="B178" s="1108" t="s">
        <v>247</v>
      </c>
      <c r="C178" s="525" t="s">
        <v>249</v>
      </c>
      <c r="D178" s="1108" t="s">
        <v>182</v>
      </c>
      <c r="E178" s="525" t="s">
        <v>183</v>
      </c>
    </row>
    <row r="179" spans="2:5" x14ac:dyDescent="0.2">
      <c r="B179" s="1108"/>
      <c r="C179" s="526" t="s">
        <v>250</v>
      </c>
      <c r="D179" s="1108"/>
      <c r="E179" s="526" t="s">
        <v>190</v>
      </c>
    </row>
    <row r="180" spans="2:5" x14ac:dyDescent="0.2">
      <c r="B180" s="1108" t="s">
        <v>251</v>
      </c>
      <c r="C180" s="525" t="s">
        <v>253</v>
      </c>
      <c r="D180" s="1108" t="s">
        <v>191</v>
      </c>
      <c r="E180" s="525" t="s">
        <v>192</v>
      </c>
    </row>
    <row r="181" spans="2:5" x14ac:dyDescent="0.2">
      <c r="B181" s="1108"/>
      <c r="C181" s="526" t="s">
        <v>254</v>
      </c>
      <c r="D181" s="1108"/>
      <c r="E181" s="526" t="s">
        <v>193</v>
      </c>
    </row>
    <row r="182" spans="2:5" ht="22.5" x14ac:dyDescent="0.2">
      <c r="B182" s="524" t="s">
        <v>1122</v>
      </c>
      <c r="C182" s="526" t="s">
        <v>1121</v>
      </c>
      <c r="D182" s="524" t="s">
        <v>1123</v>
      </c>
      <c r="E182" s="526" t="s">
        <v>1124</v>
      </c>
    </row>
    <row r="183" spans="2:5" x14ac:dyDescent="0.2">
      <c r="B183" s="1108" t="s">
        <v>255</v>
      </c>
      <c r="C183" s="525" t="s">
        <v>447</v>
      </c>
      <c r="D183" s="1108" t="s">
        <v>194</v>
      </c>
      <c r="E183" s="525" t="s">
        <v>157</v>
      </c>
    </row>
    <row r="184" spans="2:5" x14ac:dyDescent="0.2">
      <c r="B184" s="1108"/>
      <c r="C184" s="526" t="s">
        <v>257</v>
      </c>
      <c r="D184" s="1108"/>
      <c r="E184" s="526" t="s">
        <v>195</v>
      </c>
    </row>
    <row r="185" spans="2:5" x14ac:dyDescent="0.2">
      <c r="B185" s="1108" t="s">
        <v>258</v>
      </c>
      <c r="C185" s="525" t="s">
        <v>260</v>
      </c>
      <c r="D185" s="1108" t="s">
        <v>196</v>
      </c>
      <c r="E185" s="525" t="s">
        <v>197</v>
      </c>
    </row>
    <row r="186" spans="2:5" x14ac:dyDescent="0.2">
      <c r="B186" s="1108"/>
      <c r="C186" s="526" t="s">
        <v>261</v>
      </c>
      <c r="D186" s="1108"/>
      <c r="E186" s="526" t="s">
        <v>198</v>
      </c>
    </row>
    <row r="187" spans="2:5" x14ac:dyDescent="0.2">
      <c r="B187" s="533" t="s">
        <v>556</v>
      </c>
      <c r="C187" s="526"/>
      <c r="D187" s="533" t="s">
        <v>557</v>
      </c>
      <c r="E187" s="526"/>
    </row>
    <row r="188" spans="2:5" x14ac:dyDescent="0.2">
      <c r="B188" s="533" t="s">
        <v>558</v>
      </c>
      <c r="C188" s="526"/>
      <c r="D188" s="533" t="s">
        <v>559</v>
      </c>
      <c r="E188" s="526"/>
    </row>
    <row r="190" spans="2:5" x14ac:dyDescent="0.2">
      <c r="B190" s="510">
        <v>2</v>
      </c>
    </row>
    <row r="191" spans="2:5" x14ac:dyDescent="0.2">
      <c r="B191" s="47" t="s">
        <v>64</v>
      </c>
    </row>
    <row r="192" spans="2:5" x14ac:dyDescent="0.2">
      <c r="B192" s="47" t="s">
        <v>619</v>
      </c>
    </row>
    <row r="194" spans="2:4" ht="22.5" x14ac:dyDescent="0.2">
      <c r="B194" s="516" t="s">
        <v>1057</v>
      </c>
      <c r="C194" s="516" t="s">
        <v>1058</v>
      </c>
    </row>
    <row r="195" spans="2:4" x14ac:dyDescent="0.2">
      <c r="B195" s="534" t="s">
        <v>154</v>
      </c>
      <c r="C195" s="510" t="s">
        <v>69</v>
      </c>
    </row>
    <row r="196" spans="2:4" x14ac:dyDescent="0.2">
      <c r="B196" s="534" t="s">
        <v>153</v>
      </c>
      <c r="C196" s="510" t="s">
        <v>70</v>
      </c>
    </row>
    <row r="197" spans="2:4" x14ac:dyDescent="0.2">
      <c r="B197" s="47" t="s">
        <v>238</v>
      </c>
      <c r="C197" s="47" t="s">
        <v>729</v>
      </c>
      <c r="D197" s="534"/>
    </row>
    <row r="198" spans="2:4" x14ac:dyDescent="0.2">
      <c r="B198" s="510" t="s">
        <v>447</v>
      </c>
      <c r="C198" s="510" t="s">
        <v>419</v>
      </c>
      <c r="D198" s="534"/>
    </row>
    <row r="199" spans="2:4" x14ac:dyDescent="0.2">
      <c r="B199" s="510" t="s">
        <v>1059</v>
      </c>
      <c r="C199" s="510" t="s">
        <v>177</v>
      </c>
      <c r="D199" s="534"/>
    </row>
    <row r="200" spans="2:4" x14ac:dyDescent="0.2">
      <c r="B200" s="510" t="s">
        <v>1060</v>
      </c>
      <c r="C200" s="510" t="s">
        <v>1061</v>
      </c>
      <c r="D200" s="534"/>
    </row>
    <row r="202" spans="2:4" ht="22.5" x14ac:dyDescent="0.2">
      <c r="B202" s="535" t="s">
        <v>1066</v>
      </c>
      <c r="C202" s="516" t="s">
        <v>1067</v>
      </c>
      <c r="D202" s="534"/>
    </row>
    <row r="203" spans="2:4" x14ac:dyDescent="0.2">
      <c r="B203" s="534" t="s">
        <v>456</v>
      </c>
      <c r="C203" s="510" t="s">
        <v>1062</v>
      </c>
      <c r="D203" s="534"/>
    </row>
    <row r="204" spans="2:4" x14ac:dyDescent="0.2">
      <c r="B204" s="534" t="s">
        <v>1064</v>
      </c>
      <c r="C204" s="510" t="s">
        <v>1063</v>
      </c>
      <c r="D204" s="534"/>
    </row>
    <row r="205" spans="2:4" x14ac:dyDescent="0.2">
      <c r="B205" s="534" t="s">
        <v>1065</v>
      </c>
      <c r="C205" s="510" t="s">
        <v>975</v>
      </c>
      <c r="D205" s="534"/>
    </row>
    <row r="206" spans="2:4" x14ac:dyDescent="0.2">
      <c r="B206" s="534"/>
    </row>
    <row r="207" spans="2:4" x14ac:dyDescent="0.2">
      <c r="B207" s="535" t="s">
        <v>1068</v>
      </c>
      <c r="C207" s="47" t="s">
        <v>1071</v>
      </c>
      <c r="D207" s="535"/>
    </row>
    <row r="208" spans="2:4" x14ac:dyDescent="0.2">
      <c r="B208" s="534" t="s">
        <v>1069</v>
      </c>
      <c r="C208" s="510" t="s">
        <v>1072</v>
      </c>
      <c r="D208" s="534"/>
    </row>
    <row r="209" spans="2:4" x14ac:dyDescent="0.2">
      <c r="B209" s="534" t="s">
        <v>1070</v>
      </c>
      <c r="C209" s="510" t="s">
        <v>1073</v>
      </c>
      <c r="D209" s="534"/>
    </row>
    <row r="211" spans="2:4" x14ac:dyDescent="0.2">
      <c r="B211" s="47" t="s">
        <v>1077</v>
      </c>
      <c r="C211" s="516" t="s">
        <v>1078</v>
      </c>
    </row>
    <row r="212" spans="2:4" x14ac:dyDescent="0.2">
      <c r="B212" s="510" t="s">
        <v>1074</v>
      </c>
      <c r="C212" s="512" t="s">
        <v>1081</v>
      </c>
    </row>
    <row r="213" spans="2:4" x14ac:dyDescent="0.2">
      <c r="B213" s="510" t="s">
        <v>1079</v>
      </c>
      <c r="C213" s="510" t="s">
        <v>1080</v>
      </c>
    </row>
    <row r="214" spans="2:4" x14ac:dyDescent="0.2">
      <c r="B214" s="510" t="s">
        <v>1075</v>
      </c>
      <c r="C214" s="512" t="s">
        <v>1076</v>
      </c>
    </row>
    <row r="216" spans="2:4" x14ac:dyDescent="0.2">
      <c r="B216" s="535" t="s">
        <v>1082</v>
      </c>
      <c r="C216" s="47" t="s">
        <v>1083</v>
      </c>
    </row>
    <row r="217" spans="2:4" x14ac:dyDescent="0.2">
      <c r="B217" s="534" t="s">
        <v>284</v>
      </c>
      <c r="C217" s="510" t="s">
        <v>71</v>
      </c>
    </row>
    <row r="218" spans="2:4" x14ac:dyDescent="0.2">
      <c r="B218" s="510" t="s">
        <v>278</v>
      </c>
      <c r="C218" s="510" t="s">
        <v>159</v>
      </c>
    </row>
    <row r="219" spans="2:4" x14ac:dyDescent="0.2">
      <c r="B219" s="534" t="s">
        <v>243</v>
      </c>
      <c r="C219" s="510" t="s">
        <v>72</v>
      </c>
    </row>
    <row r="220" spans="2:4" x14ac:dyDescent="0.2">
      <c r="B220" s="510" t="s">
        <v>1084</v>
      </c>
      <c r="C220" s="510" t="s">
        <v>1085</v>
      </c>
    </row>
    <row r="221" spans="2:4" x14ac:dyDescent="0.2">
      <c r="B221" s="510" t="s">
        <v>1087</v>
      </c>
      <c r="C221" s="510" t="s">
        <v>1086</v>
      </c>
    </row>
    <row r="222" spans="2:4" x14ac:dyDescent="0.2">
      <c r="B222" s="535"/>
    </row>
    <row r="223" spans="2:4" x14ac:dyDescent="0.2">
      <c r="B223" s="535" t="s">
        <v>1088</v>
      </c>
      <c r="C223" s="47" t="s">
        <v>1089</v>
      </c>
    </row>
    <row r="224" spans="2:4" x14ac:dyDescent="0.2">
      <c r="B224" s="534" t="s">
        <v>977</v>
      </c>
      <c r="C224" s="510" t="s">
        <v>978</v>
      </c>
    </row>
    <row r="225" spans="2:3" x14ac:dyDescent="0.2">
      <c r="B225" s="534" t="s">
        <v>282</v>
      </c>
      <c r="C225" s="510" t="s">
        <v>148</v>
      </c>
    </row>
    <row r="227" spans="2:3" x14ac:dyDescent="0.2">
      <c r="B227" s="535" t="s">
        <v>1090</v>
      </c>
      <c r="C227" s="47" t="s">
        <v>1091</v>
      </c>
    </row>
    <row r="228" spans="2:3" x14ac:dyDescent="0.2">
      <c r="B228" s="534" t="s">
        <v>1094</v>
      </c>
      <c r="C228" s="510" t="s">
        <v>1095</v>
      </c>
    </row>
    <row r="229" spans="2:3" x14ac:dyDescent="0.2">
      <c r="B229" s="534" t="s">
        <v>470</v>
      </c>
      <c r="C229" s="510" t="s">
        <v>183</v>
      </c>
    </row>
    <row r="231" spans="2:3" x14ac:dyDescent="0.2">
      <c r="B231" s="47" t="s">
        <v>1096</v>
      </c>
      <c r="C231" s="47" t="s">
        <v>199</v>
      </c>
    </row>
    <row r="232" spans="2:3" x14ac:dyDescent="0.2">
      <c r="B232" s="534" t="s">
        <v>1093</v>
      </c>
      <c r="C232" s="534" t="s">
        <v>1092</v>
      </c>
    </row>
    <row r="233" spans="2:3" x14ac:dyDescent="0.2">
      <c r="B233" s="510" t="s">
        <v>1097</v>
      </c>
      <c r="C233" s="510" t="s">
        <v>1098</v>
      </c>
    </row>
    <row r="234" spans="2:3" x14ac:dyDescent="0.2">
      <c r="B234" s="510" t="s">
        <v>214</v>
      </c>
      <c r="C234" s="510" t="s">
        <v>176</v>
      </c>
    </row>
    <row r="236" spans="2:3" x14ac:dyDescent="0.2">
      <c r="B236" s="47" t="s">
        <v>1125</v>
      </c>
      <c r="C236" s="47" t="s">
        <v>1126</v>
      </c>
    </row>
    <row r="237" spans="2:3" x14ac:dyDescent="0.2">
      <c r="B237" s="510" t="s">
        <v>1099</v>
      </c>
      <c r="C237" s="510" t="s">
        <v>1100</v>
      </c>
    </row>
    <row r="238" spans="2:3" x14ac:dyDescent="0.2">
      <c r="B238" s="510" t="s">
        <v>1110</v>
      </c>
      <c r="C238" s="510" t="s">
        <v>1101</v>
      </c>
    </row>
    <row r="239" spans="2:3" x14ac:dyDescent="0.2">
      <c r="B239" s="510" t="s">
        <v>1111</v>
      </c>
      <c r="C239" s="510" t="s">
        <v>1102</v>
      </c>
    </row>
    <row r="240" spans="2:3" x14ac:dyDescent="0.2">
      <c r="B240" s="510" t="s">
        <v>1112</v>
      </c>
      <c r="C240" s="510" t="s">
        <v>1103</v>
      </c>
    </row>
    <row r="241" spans="2:3" x14ac:dyDescent="0.2">
      <c r="B241" s="510" t="s">
        <v>1113</v>
      </c>
      <c r="C241" s="510" t="s">
        <v>1104</v>
      </c>
    </row>
    <row r="242" spans="2:3" x14ac:dyDescent="0.2">
      <c r="B242" s="510" t="s">
        <v>1114</v>
      </c>
      <c r="C242" s="510" t="s">
        <v>1105</v>
      </c>
    </row>
    <row r="243" spans="2:3" x14ac:dyDescent="0.2">
      <c r="B243" s="510" t="s">
        <v>1115</v>
      </c>
      <c r="C243" s="510" t="s">
        <v>1106</v>
      </c>
    </row>
    <row r="244" spans="2:3" x14ac:dyDescent="0.2">
      <c r="B244" s="510" t="s">
        <v>1116</v>
      </c>
      <c r="C244" s="510" t="s">
        <v>1107</v>
      </c>
    </row>
    <row r="245" spans="2:3" x14ac:dyDescent="0.2">
      <c r="B245" s="510" t="s">
        <v>1117</v>
      </c>
      <c r="C245" s="510" t="s">
        <v>1108</v>
      </c>
    </row>
    <row r="246" spans="2:3" x14ac:dyDescent="0.2">
      <c r="B246" s="510" t="s">
        <v>1118</v>
      </c>
      <c r="C246" s="510" t="s">
        <v>1109</v>
      </c>
    </row>
    <row r="247" spans="2:3" x14ac:dyDescent="0.2">
      <c r="B247" s="534"/>
    </row>
    <row r="248" spans="2:3" x14ac:dyDescent="0.2">
      <c r="B248" s="534"/>
    </row>
    <row r="249" spans="2:3" x14ac:dyDescent="0.2">
      <c r="B249" s="534">
        <v>2</v>
      </c>
    </row>
    <row r="250" spans="2:3" x14ac:dyDescent="0.2">
      <c r="B250" s="47" t="s">
        <v>64</v>
      </c>
    </row>
    <row r="251" spans="2:3" x14ac:dyDescent="0.2">
      <c r="B251" s="47" t="s">
        <v>619</v>
      </c>
    </row>
    <row r="252" spans="2:3" x14ac:dyDescent="0.2">
      <c r="B252" s="47"/>
    </row>
    <row r="253" spans="2:3" x14ac:dyDescent="0.2">
      <c r="B253" s="47" t="s">
        <v>74</v>
      </c>
    </row>
    <row r="254" spans="2:3" x14ac:dyDescent="0.2">
      <c r="B254" s="47" t="s">
        <v>102</v>
      </c>
      <c r="C254" s="47" t="s">
        <v>103</v>
      </c>
    </row>
    <row r="255" spans="2:3" x14ac:dyDescent="0.2">
      <c r="B255" s="510" t="s">
        <v>479</v>
      </c>
      <c r="C255" s="510" t="s">
        <v>101</v>
      </c>
    </row>
    <row r="256" spans="2:3" x14ac:dyDescent="0.2">
      <c r="B256" s="510" t="s">
        <v>551</v>
      </c>
      <c r="C256" s="510" t="s">
        <v>81</v>
      </c>
    </row>
    <row r="257" spans="2:3" x14ac:dyDescent="0.2">
      <c r="B257" s="510" t="s">
        <v>464</v>
      </c>
      <c r="C257" s="510" t="s">
        <v>80</v>
      </c>
    </row>
    <row r="258" spans="2:3" x14ac:dyDescent="0.2">
      <c r="B258" s="510" t="s">
        <v>470</v>
      </c>
      <c r="C258" s="510" t="s">
        <v>183</v>
      </c>
    </row>
    <row r="260" spans="2:3" x14ac:dyDescent="0.2">
      <c r="B260" s="536" t="s">
        <v>479</v>
      </c>
      <c r="C260" s="510" t="s">
        <v>79</v>
      </c>
    </row>
    <row r="261" spans="2:3" x14ac:dyDescent="0.2">
      <c r="B261" s="536" t="s">
        <v>551</v>
      </c>
      <c r="C261" s="510" t="s">
        <v>81</v>
      </c>
    </row>
    <row r="262" spans="2:3" x14ac:dyDescent="0.2">
      <c r="B262" s="536" t="s">
        <v>464</v>
      </c>
      <c r="C262" s="510" t="s">
        <v>80</v>
      </c>
    </row>
    <row r="263" spans="2:3" x14ac:dyDescent="0.2">
      <c r="B263" s="536" t="s">
        <v>470</v>
      </c>
      <c r="C263" s="510" t="s">
        <v>183</v>
      </c>
    </row>
    <row r="264" spans="2:3" ht="22.5" x14ac:dyDescent="0.2">
      <c r="B264" s="537" t="s">
        <v>263</v>
      </c>
      <c r="C264" s="537" t="s">
        <v>872</v>
      </c>
    </row>
    <row r="265" spans="2:3" x14ac:dyDescent="0.2">
      <c r="B265" s="536" t="s">
        <v>480</v>
      </c>
      <c r="C265" s="510" t="s">
        <v>76</v>
      </c>
    </row>
    <row r="266" spans="2:3" x14ac:dyDescent="0.2">
      <c r="B266" s="536" t="s">
        <v>481</v>
      </c>
      <c r="C266" s="510" t="s">
        <v>77</v>
      </c>
    </row>
    <row r="267" spans="2:3" x14ac:dyDescent="0.2">
      <c r="B267" s="536" t="s">
        <v>482</v>
      </c>
      <c r="C267" s="510" t="s">
        <v>78</v>
      </c>
    </row>
    <row r="268" spans="2:3" x14ac:dyDescent="0.2">
      <c r="B268" s="536" t="s">
        <v>483</v>
      </c>
      <c r="C268" s="510" t="s">
        <v>82</v>
      </c>
    </row>
    <row r="269" spans="2:3" x14ac:dyDescent="0.2">
      <c r="B269" s="536"/>
    </row>
    <row r="270" spans="2:3" ht="22.5" x14ac:dyDescent="0.2">
      <c r="B270" s="537" t="s">
        <v>264</v>
      </c>
      <c r="C270" s="537" t="s">
        <v>275</v>
      </c>
    </row>
    <row r="271" spans="2:3" x14ac:dyDescent="0.2">
      <c r="B271" s="536" t="s">
        <v>265</v>
      </c>
      <c r="C271" s="510" t="s">
        <v>41</v>
      </c>
    </row>
    <row r="272" spans="2:3" x14ac:dyDescent="0.2">
      <c r="B272" s="536" t="s">
        <v>267</v>
      </c>
      <c r="C272" s="510" t="s">
        <v>42</v>
      </c>
    </row>
    <row r="273" spans="2:4" x14ac:dyDescent="0.2">
      <c r="B273" s="536" t="s">
        <v>229</v>
      </c>
      <c r="C273" s="510" t="s">
        <v>232</v>
      </c>
      <c r="D273" s="536"/>
    </row>
    <row r="274" spans="2:4" x14ac:dyDescent="0.2">
      <c r="B274" s="536" t="s">
        <v>266</v>
      </c>
      <c r="C274" s="510" t="s">
        <v>269</v>
      </c>
      <c r="D274" s="536"/>
    </row>
    <row r="275" spans="2:4" x14ac:dyDescent="0.2">
      <c r="B275" s="536" t="s">
        <v>230</v>
      </c>
      <c r="C275" s="510" t="s">
        <v>231</v>
      </c>
    </row>
    <row r="276" spans="2:4" x14ac:dyDescent="0.2">
      <c r="B276" s="536" t="s">
        <v>268</v>
      </c>
      <c r="C276" s="510" t="s">
        <v>270</v>
      </c>
    </row>
    <row r="277" spans="2:4" x14ac:dyDescent="0.2">
      <c r="B277" s="536" t="s">
        <v>483</v>
      </c>
      <c r="C277" s="510" t="s">
        <v>82</v>
      </c>
    </row>
    <row r="278" spans="2:4" x14ac:dyDescent="0.2">
      <c r="B278" s="536"/>
    </row>
    <row r="279" spans="2:4" x14ac:dyDescent="0.2">
      <c r="B279" s="538" t="s">
        <v>271</v>
      </c>
      <c r="C279" s="510" t="s">
        <v>272</v>
      </c>
    </row>
    <row r="280" spans="2:4" x14ac:dyDescent="0.2">
      <c r="B280" s="539" t="s">
        <v>886</v>
      </c>
      <c r="C280" s="540" t="s">
        <v>883</v>
      </c>
    </row>
    <row r="281" spans="2:4" x14ac:dyDescent="0.2">
      <c r="B281" s="541" t="s">
        <v>484</v>
      </c>
      <c r="C281" s="540" t="s">
        <v>83</v>
      </c>
    </row>
    <row r="282" spans="2:4" x14ac:dyDescent="0.2">
      <c r="B282" s="539" t="s">
        <v>485</v>
      </c>
      <c r="C282" s="540" t="s">
        <v>85</v>
      </c>
    </row>
    <row r="283" spans="2:4" x14ac:dyDescent="0.2">
      <c r="B283" s="541" t="s">
        <v>887</v>
      </c>
      <c r="C283" s="540" t="s">
        <v>880</v>
      </c>
    </row>
    <row r="284" spans="2:4" x14ac:dyDescent="0.2">
      <c r="B284" s="541" t="s">
        <v>888</v>
      </c>
      <c r="C284" s="540" t="s">
        <v>884</v>
      </c>
    </row>
    <row r="285" spans="2:4" x14ac:dyDescent="0.2">
      <c r="B285" s="541" t="s">
        <v>486</v>
      </c>
      <c r="C285" s="540" t="s">
        <v>84</v>
      </c>
    </row>
    <row r="286" spans="2:4" x14ac:dyDescent="0.2">
      <c r="B286" s="541" t="s">
        <v>493</v>
      </c>
      <c r="C286" s="540" t="s">
        <v>885</v>
      </c>
    </row>
    <row r="287" spans="2:4" x14ac:dyDescent="0.2">
      <c r="B287" s="541" t="s">
        <v>889</v>
      </c>
      <c r="C287" s="540" t="s">
        <v>890</v>
      </c>
    </row>
    <row r="288" spans="2:4" x14ac:dyDescent="0.2">
      <c r="B288" s="541" t="s">
        <v>494</v>
      </c>
      <c r="C288" s="540" t="s">
        <v>881</v>
      </c>
    </row>
    <row r="289" spans="2:3" x14ac:dyDescent="0.2">
      <c r="B289" s="541" t="s">
        <v>495</v>
      </c>
      <c r="C289" s="540" t="s">
        <v>882</v>
      </c>
    </row>
    <row r="290" spans="2:3" x14ac:dyDescent="0.2">
      <c r="B290" s="539" t="s">
        <v>483</v>
      </c>
      <c r="C290" s="510" t="s">
        <v>82</v>
      </c>
    </row>
    <row r="291" spans="2:3" x14ac:dyDescent="0.2">
      <c r="B291" s="539"/>
    </row>
    <row r="292" spans="2:3" ht="22.5" x14ac:dyDescent="0.2">
      <c r="B292" s="537" t="s">
        <v>582</v>
      </c>
      <c r="C292" s="537" t="s">
        <v>581</v>
      </c>
    </row>
    <row r="293" spans="2:3" x14ac:dyDescent="0.2">
      <c r="B293" s="537" t="s">
        <v>531</v>
      </c>
      <c r="C293" s="510" t="s">
        <v>86</v>
      </c>
    </row>
    <row r="294" spans="2:3" x14ac:dyDescent="0.2">
      <c r="B294" s="539" t="s">
        <v>532</v>
      </c>
      <c r="C294" s="510" t="s">
        <v>87</v>
      </c>
    </row>
    <row r="295" spans="2:3" x14ac:dyDescent="0.2">
      <c r="B295" s="539" t="s">
        <v>533</v>
      </c>
      <c r="C295" s="510" t="s">
        <v>88</v>
      </c>
    </row>
    <row r="296" spans="2:3" x14ac:dyDescent="0.2">
      <c r="B296" s="539" t="s">
        <v>534</v>
      </c>
      <c r="C296" s="510" t="s">
        <v>89</v>
      </c>
    </row>
    <row r="297" spans="2:3" x14ac:dyDescent="0.2">
      <c r="B297" s="539" t="s">
        <v>465</v>
      </c>
      <c r="C297" s="510" t="s">
        <v>90</v>
      </c>
    </row>
    <row r="298" spans="2:3" x14ac:dyDescent="0.2">
      <c r="B298" s="539" t="s">
        <v>483</v>
      </c>
      <c r="C298" s="510" t="s">
        <v>82</v>
      </c>
    </row>
    <row r="299" spans="2:3" x14ac:dyDescent="0.2">
      <c r="B299" s="539"/>
    </row>
    <row r="300" spans="2:3" ht="22.5" x14ac:dyDescent="0.2">
      <c r="B300" s="539" t="s">
        <v>273</v>
      </c>
      <c r="C300" s="537" t="s">
        <v>274</v>
      </c>
    </row>
    <row r="301" spans="2:3" x14ac:dyDescent="0.2">
      <c r="B301" s="539" t="s">
        <v>535</v>
      </c>
      <c r="C301" s="510" t="s">
        <v>104</v>
      </c>
    </row>
    <row r="302" spans="2:3" x14ac:dyDescent="0.2">
      <c r="B302" s="539" t="s">
        <v>536</v>
      </c>
      <c r="C302" s="510" t="s">
        <v>105</v>
      </c>
    </row>
    <row r="303" spans="2:3" x14ac:dyDescent="0.2">
      <c r="B303" s="539" t="s">
        <v>537</v>
      </c>
      <c r="C303" s="510" t="s">
        <v>130</v>
      </c>
    </row>
    <row r="304" spans="2:3" x14ac:dyDescent="0.2">
      <c r="B304" s="539" t="s">
        <v>538</v>
      </c>
      <c r="C304" s="510" t="s">
        <v>131</v>
      </c>
    </row>
    <row r="305" spans="2:3" x14ac:dyDescent="0.2">
      <c r="B305" s="539" t="s">
        <v>579</v>
      </c>
      <c r="C305" s="510" t="s">
        <v>580</v>
      </c>
    </row>
    <row r="306" spans="2:3" x14ac:dyDescent="0.2">
      <c r="B306" s="539" t="s">
        <v>577</v>
      </c>
      <c r="C306" s="510" t="s">
        <v>578</v>
      </c>
    </row>
    <row r="307" spans="2:3" x14ac:dyDescent="0.2">
      <c r="B307" s="539" t="s">
        <v>483</v>
      </c>
      <c r="C307" s="510" t="s">
        <v>82</v>
      </c>
    </row>
    <row r="308" spans="2:3" x14ac:dyDescent="0.2">
      <c r="B308" s="539"/>
    </row>
    <row r="309" spans="2:3" x14ac:dyDescent="0.2">
      <c r="B309" s="542" t="s">
        <v>584</v>
      </c>
      <c r="C309" s="542" t="s">
        <v>583</v>
      </c>
    </row>
    <row r="310" spans="2:3" x14ac:dyDescent="0.2">
      <c r="B310" s="542" t="s">
        <v>585</v>
      </c>
      <c r="C310" s="542" t="s">
        <v>589</v>
      </c>
    </row>
    <row r="311" spans="2:3" x14ac:dyDescent="0.2">
      <c r="B311" s="542" t="s">
        <v>586</v>
      </c>
      <c r="C311" s="542" t="s">
        <v>590</v>
      </c>
    </row>
    <row r="312" spans="2:3" x14ac:dyDescent="0.2">
      <c r="B312" s="542" t="s">
        <v>587</v>
      </c>
      <c r="C312" s="542" t="s">
        <v>591</v>
      </c>
    </row>
    <row r="313" spans="2:3" x14ac:dyDescent="0.2">
      <c r="B313" s="542" t="s">
        <v>588</v>
      </c>
      <c r="C313" s="542" t="s">
        <v>592</v>
      </c>
    </row>
    <row r="314" spans="2:3" x14ac:dyDescent="0.2">
      <c r="B314" s="539" t="s">
        <v>483</v>
      </c>
      <c r="C314" s="510" t="s">
        <v>82</v>
      </c>
    </row>
    <row r="315" spans="2:3" x14ac:dyDescent="0.2">
      <c r="B315" s="539"/>
    </row>
    <row r="316" spans="2:3" x14ac:dyDescent="0.2">
      <c r="B316" s="542" t="s">
        <v>769</v>
      </c>
      <c r="C316" s="542" t="s">
        <v>770</v>
      </c>
    </row>
    <row r="317" spans="2:3" x14ac:dyDescent="0.2">
      <c r="B317" s="539"/>
    </row>
    <row r="318" spans="2:3" x14ac:dyDescent="0.2">
      <c r="B318" s="539"/>
    </row>
    <row r="319" spans="2:3" x14ac:dyDescent="0.2">
      <c r="B319" s="539" t="s">
        <v>771</v>
      </c>
      <c r="C319" s="510" t="s">
        <v>772</v>
      </c>
    </row>
    <row r="320" spans="2:3" x14ac:dyDescent="0.2">
      <c r="B320" s="539" t="s">
        <v>539</v>
      </c>
      <c r="C320" s="537" t="s">
        <v>92</v>
      </c>
    </row>
    <row r="321" spans="2:3" ht="22.5" x14ac:dyDescent="0.2">
      <c r="B321" s="543" t="s">
        <v>540</v>
      </c>
      <c r="C321" s="537" t="s">
        <v>91</v>
      </c>
    </row>
    <row r="322" spans="2:3" ht="22.5" x14ac:dyDescent="0.2">
      <c r="B322" s="543" t="s">
        <v>541</v>
      </c>
      <c r="C322" s="537" t="s">
        <v>93</v>
      </c>
    </row>
    <row r="323" spans="2:3" x14ac:dyDescent="0.2">
      <c r="B323" s="543" t="s">
        <v>542</v>
      </c>
      <c r="C323" s="510" t="s">
        <v>94</v>
      </c>
    </row>
    <row r="324" spans="2:3" x14ac:dyDescent="0.2">
      <c r="B324" s="543" t="s">
        <v>543</v>
      </c>
      <c r="C324" s="510" t="s">
        <v>95</v>
      </c>
    </row>
    <row r="325" spans="2:3" x14ac:dyDescent="0.2">
      <c r="B325" s="543" t="s">
        <v>544</v>
      </c>
      <c r="C325" s="510" t="s">
        <v>96</v>
      </c>
    </row>
    <row r="326" spans="2:3" x14ac:dyDescent="0.2">
      <c r="B326" s="543" t="s">
        <v>545</v>
      </c>
      <c r="C326" s="510" t="s">
        <v>97</v>
      </c>
    </row>
    <row r="327" spans="2:3" x14ac:dyDescent="0.2">
      <c r="B327" s="543" t="s">
        <v>546</v>
      </c>
      <c r="C327" s="510" t="s">
        <v>98</v>
      </c>
    </row>
    <row r="328" spans="2:3" x14ac:dyDescent="0.2">
      <c r="B328" s="543" t="s">
        <v>547</v>
      </c>
      <c r="C328" s="510" t="s">
        <v>99</v>
      </c>
    </row>
    <row r="329" spans="2:3" x14ac:dyDescent="0.2">
      <c r="B329" s="543" t="s">
        <v>447</v>
      </c>
      <c r="C329" s="510" t="s">
        <v>157</v>
      </c>
    </row>
    <row r="330" spans="2:3" x14ac:dyDescent="0.2">
      <c r="B330" s="543"/>
    </row>
    <row r="331" spans="2:3" x14ac:dyDescent="0.2">
      <c r="B331" s="536" t="s">
        <v>873</v>
      </c>
      <c r="C331" s="510" t="s">
        <v>874</v>
      </c>
    </row>
    <row r="332" spans="2:3" x14ac:dyDescent="0.2">
      <c r="B332" s="536" t="s">
        <v>832</v>
      </c>
      <c r="C332" s="510" t="s">
        <v>831</v>
      </c>
    </row>
    <row r="333" spans="2:3" x14ac:dyDescent="0.2">
      <c r="B333" s="539"/>
    </row>
    <row r="334" spans="2:3" x14ac:dyDescent="0.2">
      <c r="B334" s="539" t="s">
        <v>773</v>
      </c>
      <c r="C334" s="510" t="s">
        <v>774</v>
      </c>
    </row>
    <row r="335" spans="2:3" x14ac:dyDescent="0.2">
      <c r="B335" s="510" t="s">
        <v>1140</v>
      </c>
      <c r="C335" s="539" t="s">
        <v>1141</v>
      </c>
    </row>
    <row r="336" spans="2:3" x14ac:dyDescent="0.2">
      <c r="B336" s="536" t="s">
        <v>548</v>
      </c>
      <c r="C336" s="510" t="s">
        <v>875</v>
      </c>
    </row>
    <row r="337" spans="2:3" x14ac:dyDescent="0.2">
      <c r="B337" s="536" t="s">
        <v>549</v>
      </c>
      <c r="C337" s="510" t="s">
        <v>876</v>
      </c>
    </row>
    <row r="338" spans="2:3" x14ac:dyDescent="0.2">
      <c r="B338" s="539" t="s">
        <v>1136</v>
      </c>
      <c r="C338" s="510" t="s">
        <v>1137</v>
      </c>
    </row>
    <row r="339" spans="2:3" x14ac:dyDescent="0.2">
      <c r="B339" s="539" t="s">
        <v>1051</v>
      </c>
      <c r="C339" s="510" t="s">
        <v>1052</v>
      </c>
    </row>
    <row r="340" spans="2:3" ht="22.5" x14ac:dyDescent="0.2">
      <c r="B340" s="539" t="s">
        <v>940</v>
      </c>
      <c r="C340" s="543" t="s">
        <v>939</v>
      </c>
    </row>
    <row r="341" spans="2:3" ht="22.5" x14ac:dyDescent="0.2">
      <c r="B341" s="543" t="s">
        <v>1142</v>
      </c>
      <c r="C341" s="543" t="s">
        <v>1143</v>
      </c>
    </row>
    <row r="342" spans="2:3" ht="22.5" x14ac:dyDescent="0.2">
      <c r="B342" s="539" t="s">
        <v>1049</v>
      </c>
      <c r="C342" s="543" t="s">
        <v>1050</v>
      </c>
    </row>
    <row r="343" spans="2:3" ht="22.5" x14ac:dyDescent="0.2">
      <c r="B343" s="543" t="s">
        <v>1138</v>
      </c>
      <c r="C343" s="543" t="s">
        <v>1139</v>
      </c>
    </row>
    <row r="344" spans="2:3" x14ac:dyDescent="0.2">
      <c r="B344" s="539"/>
      <c r="C344" s="543"/>
    </row>
    <row r="345" spans="2:3" ht="22.5" x14ac:dyDescent="0.2">
      <c r="B345" s="539" t="s">
        <v>878</v>
      </c>
      <c r="C345" s="543" t="s">
        <v>879</v>
      </c>
    </row>
    <row r="346" spans="2:3" x14ac:dyDescent="0.2">
      <c r="B346" s="539" t="s">
        <v>929</v>
      </c>
      <c r="C346" s="543" t="s">
        <v>1041</v>
      </c>
    </row>
    <row r="347" spans="2:3" x14ac:dyDescent="0.2">
      <c r="B347" s="539" t="s">
        <v>75</v>
      </c>
      <c r="C347" s="510" t="s">
        <v>100</v>
      </c>
    </row>
    <row r="348" spans="2:3" x14ac:dyDescent="0.2">
      <c r="B348" s="539" t="s">
        <v>550</v>
      </c>
      <c r="C348" s="544" t="s">
        <v>877</v>
      </c>
    </row>
    <row r="349" spans="2:3" x14ac:dyDescent="0.2">
      <c r="B349" s="539"/>
      <c r="C349" s="544"/>
    </row>
    <row r="350" spans="2:3" x14ac:dyDescent="0.2">
      <c r="B350" s="539"/>
      <c r="C350" s="544"/>
    </row>
    <row r="351" spans="2:3" x14ac:dyDescent="0.2">
      <c r="B351" s="603" t="s">
        <v>1186</v>
      </c>
      <c r="C351" s="383" t="s">
        <v>1185</v>
      </c>
    </row>
    <row r="352" spans="2:3" x14ac:dyDescent="0.2">
      <c r="B352" s="539"/>
      <c r="C352" s="544"/>
    </row>
    <row r="353" spans="2:14" x14ac:dyDescent="0.2">
      <c r="B353" s="539" t="s">
        <v>1180</v>
      </c>
      <c r="C353" s="544" t="s">
        <v>1175</v>
      </c>
    </row>
    <row r="354" spans="2:14" x14ac:dyDescent="0.2">
      <c r="B354" s="510" t="s">
        <v>928</v>
      </c>
      <c r="C354" s="544" t="s">
        <v>869</v>
      </c>
    </row>
    <row r="355" spans="2:14" x14ac:dyDescent="0.2">
      <c r="B355" s="510" t="s">
        <v>1181</v>
      </c>
      <c r="C355" s="544" t="s">
        <v>1177</v>
      </c>
    </row>
    <row r="356" spans="2:14" x14ac:dyDescent="0.2">
      <c r="B356" s="510" t="s">
        <v>929</v>
      </c>
      <c r="C356" s="544" t="s">
        <v>871</v>
      </c>
    </row>
    <row r="357" spans="2:14" x14ac:dyDescent="0.2">
      <c r="B357" s="510" t="s">
        <v>1182</v>
      </c>
      <c r="C357" s="544" t="s">
        <v>1178</v>
      </c>
    </row>
    <row r="358" spans="2:14" x14ac:dyDescent="0.2">
      <c r="B358" s="510" t="s">
        <v>1174</v>
      </c>
      <c r="C358" s="544" t="s">
        <v>157</v>
      </c>
    </row>
    <row r="359" spans="2:14" x14ac:dyDescent="0.2">
      <c r="B359" s="510" t="s">
        <v>1183</v>
      </c>
      <c r="C359" s="544" t="s">
        <v>1176</v>
      </c>
    </row>
    <row r="360" spans="2:14" x14ac:dyDescent="0.2">
      <c r="B360" s="510" t="s">
        <v>931</v>
      </c>
      <c r="C360" s="544" t="s">
        <v>870</v>
      </c>
    </row>
    <row r="361" spans="2:14" x14ac:dyDescent="0.2">
      <c r="B361" s="510" t="s">
        <v>1184</v>
      </c>
      <c r="C361" s="544" t="s">
        <v>1179</v>
      </c>
    </row>
    <row r="362" spans="2:14" x14ac:dyDescent="0.2">
      <c r="B362" s="510" t="s">
        <v>1133</v>
      </c>
      <c r="C362" s="544" t="s">
        <v>812</v>
      </c>
    </row>
    <row r="363" spans="2:14" x14ac:dyDescent="0.2">
      <c r="B363" s="539"/>
      <c r="C363" s="544"/>
    </row>
    <row r="364" spans="2:14" x14ac:dyDescent="0.2">
      <c r="B364" s="534">
        <v>2</v>
      </c>
      <c r="D364" s="544"/>
      <c r="E364" s="544"/>
      <c r="F364" s="544"/>
      <c r="G364" s="545"/>
      <c r="H364" s="545"/>
      <c r="I364" s="1110"/>
      <c r="J364" s="1110"/>
      <c r="K364" s="1110"/>
      <c r="L364" s="544"/>
      <c r="M364" s="544"/>
      <c r="N364" s="544"/>
    </row>
    <row r="365" spans="2:14" x14ac:dyDescent="0.2">
      <c r="B365" s="47" t="s">
        <v>64</v>
      </c>
      <c r="G365" s="544"/>
      <c r="H365" s="544"/>
      <c r="I365" s="544"/>
      <c r="J365" s="544"/>
      <c r="K365" s="544"/>
      <c r="L365" s="544"/>
      <c r="M365" s="544"/>
      <c r="N365" s="544"/>
    </row>
    <row r="366" spans="2:14" x14ac:dyDescent="0.2">
      <c r="B366" s="47" t="s">
        <v>619</v>
      </c>
    </row>
    <row r="367" spans="2:14" x14ac:dyDescent="0.2">
      <c r="B367" s="534">
        <v>1</v>
      </c>
    </row>
    <row r="368" spans="2:14" x14ac:dyDescent="0.2">
      <c r="B368" s="534"/>
    </row>
    <row r="369" spans="2:4" x14ac:dyDescent="0.2">
      <c r="B369" s="47" t="str">
        <f>IF($B$364=1,C369,D369)</f>
        <v>Микрокредитная компания</v>
      </c>
      <c r="C369" s="510" t="s">
        <v>25</v>
      </c>
      <c r="D369" s="510" t="s">
        <v>621</v>
      </c>
    </row>
    <row r="370" spans="2:4" x14ac:dyDescent="0.2">
      <c r="B370" s="47" t="str">
        <f t="shared" ref="B370:B378" si="0">IF($B$364=1,C370,D370)</f>
        <v>Микрокредитное агентство</v>
      </c>
      <c r="C370" s="510" t="s">
        <v>628</v>
      </c>
      <c r="D370" s="510" t="s">
        <v>622</v>
      </c>
    </row>
    <row r="371" spans="2:4" x14ac:dyDescent="0.2">
      <c r="B371" s="47" t="str">
        <f t="shared" si="0"/>
        <v>Микрофинансовая компания</v>
      </c>
      <c r="C371" s="510" t="s">
        <v>629</v>
      </c>
      <c r="D371" s="510" t="s">
        <v>623</v>
      </c>
    </row>
    <row r="372" spans="2:4" x14ac:dyDescent="0.2">
      <c r="B372" s="47" t="str">
        <f t="shared" si="0"/>
        <v>Кредитный Союз</v>
      </c>
      <c r="C372" s="510" t="s">
        <v>650</v>
      </c>
      <c r="D372" s="510" t="s">
        <v>651</v>
      </c>
    </row>
    <row r="373" spans="2:4" x14ac:dyDescent="0.2">
      <c r="B373" s="47" t="str">
        <f t="shared" si="0"/>
        <v>Микрозаемный фонд</v>
      </c>
      <c r="C373" s="510" t="s">
        <v>26</v>
      </c>
      <c r="D373" s="510" t="s">
        <v>24</v>
      </c>
    </row>
    <row r="374" spans="2:4" x14ac:dyDescent="0.2">
      <c r="B374" s="47" t="str">
        <f t="shared" si="0"/>
        <v>Микрозаемная организация</v>
      </c>
      <c r="C374" s="510" t="s">
        <v>630</v>
      </c>
      <c r="D374" s="510" t="s">
        <v>624</v>
      </c>
    </row>
    <row r="375" spans="2:4" x14ac:dyDescent="0.2">
      <c r="B375" s="47" t="str">
        <f t="shared" si="0"/>
        <v>Микродепозитная организация</v>
      </c>
      <c r="C375" s="510" t="s">
        <v>631</v>
      </c>
      <c r="D375" s="510" t="s">
        <v>625</v>
      </c>
    </row>
    <row r="376" spans="2:4" x14ac:dyDescent="0.2">
      <c r="B376" s="47" t="str">
        <f t="shared" si="0"/>
        <v>Коммерческий банк</v>
      </c>
      <c r="C376" s="510" t="s">
        <v>632</v>
      </c>
      <c r="D376" s="510" t="s">
        <v>626</v>
      </c>
    </row>
    <row r="377" spans="2:4" x14ac:dyDescent="0.2">
      <c r="B377" s="47" t="str">
        <f t="shared" si="0"/>
        <v>Микрокредитная организация</v>
      </c>
      <c r="C377" s="510" t="s">
        <v>630</v>
      </c>
      <c r="D377" s="510" t="s">
        <v>23</v>
      </c>
    </row>
    <row r="378" spans="2:4" x14ac:dyDescent="0.2">
      <c r="B378" s="47" t="str">
        <f t="shared" si="0"/>
        <v>Другое</v>
      </c>
      <c r="C378" s="510" t="s">
        <v>633</v>
      </c>
      <c r="D378" s="510" t="s">
        <v>627</v>
      </c>
    </row>
    <row r="380" spans="2:4" x14ac:dyDescent="0.2">
      <c r="B380" s="510">
        <v>1</v>
      </c>
    </row>
    <row r="382" spans="2:4" x14ac:dyDescent="0.2">
      <c r="B382" s="47" t="str">
        <f>IF($B$364=1,C382,D382)</f>
        <v>Коммерческая</v>
      </c>
      <c r="C382" s="510" t="s">
        <v>634</v>
      </c>
      <c r="D382" s="510" t="s">
        <v>615</v>
      </c>
    </row>
    <row r="383" spans="2:4" x14ac:dyDescent="0.2">
      <c r="B383" s="47" t="str">
        <f>IF($B$364=1,C383,D383)</f>
        <v>Не коммерческая</v>
      </c>
      <c r="C383" s="510" t="s">
        <v>635</v>
      </c>
      <c r="D383" s="510" t="s">
        <v>636</v>
      </c>
    </row>
    <row r="384" spans="2:4" x14ac:dyDescent="0.2">
      <c r="B384" s="47"/>
    </row>
    <row r="385" spans="2:4" x14ac:dyDescent="0.2">
      <c r="B385" s="510">
        <v>2</v>
      </c>
    </row>
    <row r="386" spans="2:4" x14ac:dyDescent="0.2">
      <c r="B386" s="47" t="str">
        <f>IF($B$364=1,C386,D386)</f>
        <v>Да</v>
      </c>
      <c r="C386" s="510" t="s">
        <v>652</v>
      </c>
      <c r="D386" s="83" t="s">
        <v>653</v>
      </c>
    </row>
    <row r="387" spans="2:4" x14ac:dyDescent="0.2">
      <c r="B387" s="47" t="str">
        <f>IF($B$364=1,C387,D387)</f>
        <v>Нет</v>
      </c>
      <c r="C387" s="510" t="s">
        <v>724</v>
      </c>
      <c r="D387" s="83" t="s">
        <v>755</v>
      </c>
    </row>
    <row r="388" spans="2:4" x14ac:dyDescent="0.2">
      <c r="D388" s="83"/>
    </row>
    <row r="389" spans="2:4" x14ac:dyDescent="0.2">
      <c r="B389" s="47"/>
    </row>
    <row r="390" spans="2:4" x14ac:dyDescent="0.2">
      <c r="B390" s="546">
        <f ca="1">IF(OR(MONTH(TODAY())=1,MONTH(TODAY())=3,MONTH(TODAY())=5,MONTH(TODAY())=7,MONTH(TODAY())=8,MONTH(TODAY())=10,MONTH(TODAY())=12),DATE(YEAR(TODAY()),MONTH(TODAY()),DAY(31)-31),IF(MONTH(TODAY())=2,DATE(YEAR(TODAY()),MONTH(TODAY()),DAY(28)-28),IF(OR(MONTH(TODAY())=4,MONTH(TODAY())=6,MONTH(TODAY())=9,MONTH(TODAY())=11),DATE(YEAR(TODAY()),MONTH(TODAY()),DAY(30)-30),0)))</f>
        <v>42674</v>
      </c>
    </row>
    <row r="391" spans="2:4" x14ac:dyDescent="0.2">
      <c r="B391" s="47" t="s">
        <v>593</v>
      </c>
      <c r="C391" s="47" t="s">
        <v>637</v>
      </c>
    </row>
    <row r="392" spans="2:4" ht="56.25" x14ac:dyDescent="0.2">
      <c r="B392" s="512" t="s">
        <v>487</v>
      </c>
      <c r="C392" s="512" t="s">
        <v>638</v>
      </c>
    </row>
    <row r="393" spans="2:4" ht="90" x14ac:dyDescent="0.2">
      <c r="B393" s="512" t="s">
        <v>1284</v>
      </c>
      <c r="C393" s="512" t="s">
        <v>1285</v>
      </c>
    </row>
    <row r="395" spans="2:4" x14ac:dyDescent="0.2">
      <c r="B395" s="47" t="s">
        <v>594</v>
      </c>
      <c r="C395" s="47" t="s">
        <v>639</v>
      </c>
    </row>
    <row r="397" spans="2:4" x14ac:dyDescent="0.2">
      <c r="B397" s="510" t="s">
        <v>595</v>
      </c>
      <c r="C397" s="510" t="s">
        <v>641</v>
      </c>
    </row>
    <row r="398" spans="2:4" x14ac:dyDescent="0.2">
      <c r="B398" s="510" t="s">
        <v>596</v>
      </c>
      <c r="C398" s="510" t="s">
        <v>642</v>
      </c>
    </row>
    <row r="399" spans="2:4" x14ac:dyDescent="0.2">
      <c r="B399" s="510" t="s">
        <v>664</v>
      </c>
      <c r="C399" s="510" t="s">
        <v>665</v>
      </c>
    </row>
    <row r="400" spans="2:4" x14ac:dyDescent="0.2">
      <c r="B400" s="510" t="s">
        <v>599</v>
      </c>
      <c r="C400" s="510" t="s">
        <v>643</v>
      </c>
    </row>
    <row r="401" spans="2:3" x14ac:dyDescent="0.2">
      <c r="B401" s="510" t="s">
        <v>600</v>
      </c>
      <c r="C401" s="510" t="s">
        <v>644</v>
      </c>
    </row>
    <row r="402" spans="2:3" x14ac:dyDescent="0.2">
      <c r="B402" s="510" t="s">
        <v>601</v>
      </c>
      <c r="C402" s="510" t="s">
        <v>645</v>
      </c>
    </row>
    <row r="403" spans="2:3" x14ac:dyDescent="0.2">
      <c r="B403" s="510" t="s">
        <v>603</v>
      </c>
      <c r="C403" s="510" t="s">
        <v>646</v>
      </c>
    </row>
    <row r="404" spans="2:3" x14ac:dyDescent="0.2">
      <c r="B404" s="510" t="s">
        <v>742</v>
      </c>
      <c r="C404" s="510" t="s">
        <v>647</v>
      </c>
    </row>
    <row r="405" spans="2:3" x14ac:dyDescent="0.2">
      <c r="B405" s="510" t="s">
        <v>743</v>
      </c>
      <c r="C405" s="510" t="s">
        <v>649</v>
      </c>
    </row>
    <row r="406" spans="2:3" x14ac:dyDescent="0.2">
      <c r="B406" s="510" t="s">
        <v>648</v>
      </c>
      <c r="C406" s="510" t="s">
        <v>654</v>
      </c>
    </row>
    <row r="407" spans="2:3" x14ac:dyDescent="0.2">
      <c r="B407" s="510" t="s">
        <v>601</v>
      </c>
      <c r="C407" s="510" t="s">
        <v>645</v>
      </c>
    </row>
    <row r="408" spans="2:3" x14ac:dyDescent="0.2">
      <c r="B408" s="510" t="s">
        <v>27</v>
      </c>
      <c r="C408" s="510" t="s">
        <v>27</v>
      </c>
    </row>
    <row r="410" spans="2:3" x14ac:dyDescent="0.2">
      <c r="B410" s="510" t="s">
        <v>22</v>
      </c>
      <c r="C410" s="510" t="s">
        <v>661</v>
      </c>
    </row>
    <row r="411" spans="2:3" x14ac:dyDescent="0.2">
      <c r="B411" s="510" t="s">
        <v>597</v>
      </c>
      <c r="C411" s="510" t="s">
        <v>655</v>
      </c>
    </row>
    <row r="412" spans="2:3" x14ac:dyDescent="0.2">
      <c r="B412" s="510" t="s">
        <v>666</v>
      </c>
      <c r="C412" s="510" t="s">
        <v>656</v>
      </c>
    </row>
    <row r="413" spans="2:3" x14ac:dyDescent="0.2">
      <c r="B413" s="510" t="s">
        <v>598</v>
      </c>
      <c r="C413" s="510" t="s">
        <v>657</v>
      </c>
    </row>
    <row r="414" spans="2:3" x14ac:dyDescent="0.2">
      <c r="B414" s="510" t="s">
        <v>640</v>
      </c>
      <c r="C414" s="510" t="s">
        <v>658</v>
      </c>
    </row>
    <row r="415" spans="2:3" x14ac:dyDescent="0.2">
      <c r="B415" s="510" t="s">
        <v>602</v>
      </c>
      <c r="C415" s="510" t="s">
        <v>659</v>
      </c>
    </row>
    <row r="416" spans="2:3" x14ac:dyDescent="0.2">
      <c r="B416" s="510" t="s">
        <v>27</v>
      </c>
      <c r="C416" s="510" t="s">
        <v>27</v>
      </c>
    </row>
    <row r="417" spans="2:9" ht="22.5" x14ac:dyDescent="0.2">
      <c r="B417" s="512" t="s">
        <v>488</v>
      </c>
      <c r="C417" s="512" t="s">
        <v>660</v>
      </c>
    </row>
    <row r="418" spans="2:9" x14ac:dyDescent="0.2">
      <c r="B418" s="510" t="s">
        <v>743</v>
      </c>
      <c r="C418" s="510" t="s">
        <v>649</v>
      </c>
    </row>
    <row r="419" spans="2:9" x14ac:dyDescent="0.2">
      <c r="B419" s="510" t="s">
        <v>648</v>
      </c>
      <c r="C419" s="510" t="s">
        <v>654</v>
      </c>
    </row>
    <row r="420" spans="2:9" x14ac:dyDescent="0.2">
      <c r="B420" s="510" t="s">
        <v>601</v>
      </c>
      <c r="C420" s="510" t="s">
        <v>645</v>
      </c>
    </row>
    <row r="421" spans="2:9" x14ac:dyDescent="0.2">
      <c r="B421" s="510" t="s">
        <v>27</v>
      </c>
      <c r="C421" s="510" t="s">
        <v>27</v>
      </c>
    </row>
    <row r="423" spans="2:9" x14ac:dyDescent="0.2">
      <c r="B423" s="547" t="s">
        <v>662</v>
      </c>
      <c r="C423" s="547" t="s">
        <v>663</v>
      </c>
    </row>
    <row r="425" spans="2:9" x14ac:dyDescent="0.2">
      <c r="B425" s="47" t="s">
        <v>604</v>
      </c>
      <c r="C425" s="47" t="s">
        <v>667</v>
      </c>
    </row>
    <row r="426" spans="2:9" ht="90" x14ac:dyDescent="0.2">
      <c r="B426" s="512" t="s">
        <v>1128</v>
      </c>
      <c r="C426" s="512" t="s">
        <v>1127</v>
      </c>
    </row>
    <row r="428" spans="2:9" x14ac:dyDescent="0.2">
      <c r="B428" s="78" t="s">
        <v>605</v>
      </c>
      <c r="C428" s="78" t="s">
        <v>672</v>
      </c>
      <c r="D428" s="5"/>
      <c r="H428" s="5"/>
      <c r="I428" s="5"/>
    </row>
    <row r="429" spans="2:9" x14ac:dyDescent="0.2">
      <c r="B429" s="78" t="s">
        <v>606</v>
      </c>
      <c r="C429" s="78" t="s">
        <v>668</v>
      </c>
    </row>
    <row r="430" spans="2:9" x14ac:dyDescent="0.2">
      <c r="B430" s="78" t="s">
        <v>607</v>
      </c>
      <c r="C430" s="78" t="s">
        <v>669</v>
      </c>
    </row>
    <row r="431" spans="2:9" x14ac:dyDescent="0.2">
      <c r="B431" s="78" t="s">
        <v>608</v>
      </c>
      <c r="C431" s="78" t="s">
        <v>670</v>
      </c>
    </row>
    <row r="432" spans="2:9" x14ac:dyDescent="0.2">
      <c r="B432" s="78" t="s">
        <v>674</v>
      </c>
      <c r="C432" s="78" t="s">
        <v>675</v>
      </c>
    </row>
    <row r="433" spans="2:4" x14ac:dyDescent="0.2">
      <c r="B433" s="78" t="s">
        <v>609</v>
      </c>
      <c r="C433" s="78" t="s">
        <v>671</v>
      </c>
    </row>
    <row r="434" spans="2:4" x14ac:dyDescent="0.2">
      <c r="B434" s="510" t="s">
        <v>610</v>
      </c>
      <c r="C434" s="510" t="s">
        <v>676</v>
      </c>
    </row>
    <row r="436" spans="2:4" x14ac:dyDescent="0.2">
      <c r="B436" s="510" t="s">
        <v>839</v>
      </c>
      <c r="C436" s="510" t="s">
        <v>827</v>
      </c>
    </row>
    <row r="437" spans="2:4" ht="22.5" x14ac:dyDescent="0.2">
      <c r="B437" s="548" t="s">
        <v>840</v>
      </c>
      <c r="C437" s="548" t="s">
        <v>841</v>
      </c>
    </row>
    <row r="438" spans="2:4" x14ac:dyDescent="0.2">
      <c r="B438" s="549" t="s">
        <v>842</v>
      </c>
      <c r="C438" s="548" t="s">
        <v>828</v>
      </c>
    </row>
    <row r="439" spans="2:4" x14ac:dyDescent="0.2">
      <c r="B439" s="550" t="s">
        <v>843</v>
      </c>
      <c r="C439" s="551" t="s">
        <v>829</v>
      </c>
    </row>
    <row r="440" spans="2:4" x14ac:dyDescent="0.2">
      <c r="B440" s="552" t="s">
        <v>844</v>
      </c>
      <c r="C440" s="551" t="s">
        <v>830</v>
      </c>
    </row>
    <row r="443" spans="2:4" x14ac:dyDescent="0.2">
      <c r="B443" s="510" t="s">
        <v>612</v>
      </c>
      <c r="C443" s="510" t="s">
        <v>677</v>
      </c>
    </row>
    <row r="444" spans="2:4" x14ac:dyDescent="0.2">
      <c r="B444" s="553" t="s">
        <v>613</v>
      </c>
      <c r="C444" s="510" t="s">
        <v>678</v>
      </c>
    </row>
    <row r="445" spans="2:4" x14ac:dyDescent="0.2">
      <c r="B445" s="554" t="s">
        <v>614</v>
      </c>
      <c r="C445" s="555" t="s">
        <v>679</v>
      </c>
    </row>
    <row r="446" spans="2:4" x14ac:dyDescent="0.2">
      <c r="B446" s="554" t="s">
        <v>617</v>
      </c>
      <c r="C446" s="510" t="s">
        <v>75</v>
      </c>
    </row>
    <row r="447" spans="2:4" x14ac:dyDescent="0.2">
      <c r="B447" s="554" t="s">
        <v>618</v>
      </c>
      <c r="C447" s="510" t="s">
        <v>550</v>
      </c>
      <c r="D447" s="555"/>
    </row>
    <row r="448" spans="2:4" x14ac:dyDescent="0.2">
      <c r="B448" s="554"/>
      <c r="D448" s="555"/>
    </row>
    <row r="449" spans="2:4" ht="22.5" x14ac:dyDescent="0.2">
      <c r="B449" s="512" t="s">
        <v>117</v>
      </c>
      <c r="C449" s="512" t="s">
        <v>118</v>
      </c>
      <c r="D449" s="555"/>
    </row>
    <row r="450" spans="2:4" ht="101.25" x14ac:dyDescent="0.2">
      <c r="B450" s="512" t="s">
        <v>845</v>
      </c>
      <c r="C450" s="512" t="s">
        <v>846</v>
      </c>
      <c r="D450" s="555"/>
    </row>
    <row r="451" spans="2:4" ht="22.5" x14ac:dyDescent="0.2">
      <c r="B451" s="512" t="s">
        <v>847</v>
      </c>
      <c r="C451" s="512" t="s">
        <v>848</v>
      </c>
      <c r="D451" s="555"/>
    </row>
    <row r="452" spans="2:4" ht="22.5" x14ac:dyDescent="0.2">
      <c r="B452" s="512" t="s">
        <v>107</v>
      </c>
      <c r="C452" s="512" t="s">
        <v>108</v>
      </c>
      <c r="D452" s="555"/>
    </row>
    <row r="453" spans="2:4" x14ac:dyDescent="0.2">
      <c r="B453" s="512" t="s">
        <v>106</v>
      </c>
      <c r="C453" s="510" t="s">
        <v>109</v>
      </c>
      <c r="D453" s="555"/>
    </row>
    <row r="454" spans="2:4" ht="22.5" x14ac:dyDescent="0.2">
      <c r="B454" s="512" t="s">
        <v>727</v>
      </c>
      <c r="C454" s="512" t="s">
        <v>728</v>
      </c>
      <c r="D454" s="512"/>
    </row>
    <row r="455" spans="2:4" x14ac:dyDescent="0.2">
      <c r="B455" s="512" t="s">
        <v>111</v>
      </c>
      <c r="C455" s="510" t="s">
        <v>110</v>
      </c>
      <c r="D455" s="555"/>
    </row>
    <row r="456" spans="2:4" x14ac:dyDescent="0.2">
      <c r="B456" s="554"/>
      <c r="D456" s="555"/>
    </row>
    <row r="457" spans="2:4" x14ac:dyDescent="0.2">
      <c r="B457" s="510" t="s">
        <v>616</v>
      </c>
      <c r="C457" s="510" t="s">
        <v>680</v>
      </c>
    </row>
    <row r="458" spans="2:4" ht="67.5" x14ac:dyDescent="0.2">
      <c r="B458" s="512" t="s">
        <v>733</v>
      </c>
      <c r="C458" s="512" t="s">
        <v>681</v>
      </c>
    </row>
    <row r="459" spans="2:4" x14ac:dyDescent="0.2">
      <c r="B459" s="510" t="s">
        <v>734</v>
      </c>
      <c r="C459" s="510" t="s">
        <v>682</v>
      </c>
    </row>
    <row r="460" spans="2:4" x14ac:dyDescent="0.2">
      <c r="B460" s="510" t="s">
        <v>735</v>
      </c>
      <c r="C460" s="510" t="s">
        <v>683</v>
      </c>
    </row>
    <row r="461" spans="2:4" x14ac:dyDescent="0.2">
      <c r="B461" s="510" t="s">
        <v>736</v>
      </c>
      <c r="C461" s="510" t="s">
        <v>684</v>
      </c>
    </row>
    <row r="462" spans="2:4" x14ac:dyDescent="0.2">
      <c r="B462" s="510" t="s">
        <v>737</v>
      </c>
      <c r="C462" s="510" t="s">
        <v>685</v>
      </c>
    </row>
    <row r="463" spans="2:4" x14ac:dyDescent="0.2">
      <c r="B463" s="510" t="s">
        <v>738</v>
      </c>
      <c r="C463" s="510" t="s">
        <v>686</v>
      </c>
    </row>
    <row r="464" spans="2:4" x14ac:dyDescent="0.2">
      <c r="B464" s="510" t="s">
        <v>739</v>
      </c>
      <c r="C464" s="510" t="s">
        <v>687</v>
      </c>
    </row>
    <row r="465" spans="2:3" x14ac:dyDescent="0.2">
      <c r="B465" s="510" t="s">
        <v>740</v>
      </c>
      <c r="C465" s="510" t="s">
        <v>688</v>
      </c>
    </row>
    <row r="467" spans="2:3" ht="22.5" x14ac:dyDescent="0.2">
      <c r="B467" s="512" t="s">
        <v>741</v>
      </c>
      <c r="C467" s="512" t="s">
        <v>689</v>
      </c>
    </row>
    <row r="468" spans="2:3" ht="22.5" x14ac:dyDescent="0.2">
      <c r="B468" s="512" t="s">
        <v>692</v>
      </c>
      <c r="C468" s="512" t="s">
        <v>690</v>
      </c>
    </row>
    <row r="469" spans="2:3" ht="33.75" x14ac:dyDescent="0.2">
      <c r="B469" s="512" t="s">
        <v>693</v>
      </c>
      <c r="C469" s="512" t="s">
        <v>691</v>
      </c>
    </row>
    <row r="471" spans="2:3" x14ac:dyDescent="0.2">
      <c r="B471" s="510" t="s">
        <v>21</v>
      </c>
      <c r="C471" s="510" t="s">
        <v>694</v>
      </c>
    </row>
    <row r="472" spans="2:3" x14ac:dyDescent="0.2">
      <c r="B472" s="510" t="s">
        <v>717</v>
      </c>
      <c r="C472" s="510" t="s">
        <v>718</v>
      </c>
    </row>
    <row r="473" spans="2:3" x14ac:dyDescent="0.2">
      <c r="B473" s="510" t="s">
        <v>30</v>
      </c>
      <c r="C473" s="510" t="s">
        <v>31</v>
      </c>
    </row>
    <row r="474" spans="2:3" x14ac:dyDescent="0.2">
      <c r="B474" s="512" t="s">
        <v>32</v>
      </c>
      <c r="C474" s="510" t="s">
        <v>33</v>
      </c>
    </row>
    <row r="475" spans="2:3" x14ac:dyDescent="0.2">
      <c r="B475" s="510" t="s">
        <v>719</v>
      </c>
      <c r="C475" s="510" t="s">
        <v>720</v>
      </c>
    </row>
    <row r="476" spans="2:3" ht="33.75" x14ac:dyDescent="0.2">
      <c r="B476" s="512" t="s">
        <v>1247</v>
      </c>
      <c r="C476" s="512" t="s">
        <v>1246</v>
      </c>
    </row>
    <row r="477" spans="2:3" x14ac:dyDescent="0.2">
      <c r="B477" s="510" t="s">
        <v>744</v>
      </c>
      <c r="C477" s="510" t="s">
        <v>695</v>
      </c>
    </row>
    <row r="478" spans="2:3" x14ac:dyDescent="0.2">
      <c r="B478" s="510" t="s">
        <v>747</v>
      </c>
      <c r="C478" s="510" t="s">
        <v>696</v>
      </c>
    </row>
    <row r="479" spans="2:3" x14ac:dyDescent="0.2">
      <c r="B479" s="510" t="s">
        <v>745</v>
      </c>
      <c r="C479" s="510" t="s">
        <v>698</v>
      </c>
    </row>
    <row r="480" spans="2:3" x14ac:dyDescent="0.2">
      <c r="B480" s="510" t="s">
        <v>746</v>
      </c>
      <c r="C480" s="510" t="s">
        <v>699</v>
      </c>
    </row>
    <row r="481" spans="2:5" x14ac:dyDescent="0.2">
      <c r="B481" s="510" t="s">
        <v>748</v>
      </c>
      <c r="C481" s="510" t="s">
        <v>700</v>
      </c>
    </row>
    <row r="482" spans="2:5" x14ac:dyDescent="0.2">
      <c r="B482" s="510" t="s">
        <v>749</v>
      </c>
      <c r="C482" s="510" t="s">
        <v>701</v>
      </c>
    </row>
    <row r="483" spans="2:5" x14ac:dyDescent="0.2">
      <c r="B483" s="510" t="s">
        <v>750</v>
      </c>
      <c r="C483" s="510" t="s">
        <v>702</v>
      </c>
    </row>
    <row r="484" spans="2:5" x14ac:dyDescent="0.2">
      <c r="B484" s="510" t="s">
        <v>751</v>
      </c>
      <c r="C484" s="510" t="s">
        <v>703</v>
      </c>
    </row>
    <row r="485" spans="2:5" x14ac:dyDescent="0.2">
      <c r="B485" s="510" t="s">
        <v>753</v>
      </c>
      <c r="C485" s="510" t="s">
        <v>704</v>
      </c>
    </row>
    <row r="486" spans="2:5" x14ac:dyDescent="0.2">
      <c r="B486" s="510" t="s">
        <v>752</v>
      </c>
      <c r="C486" s="510" t="s">
        <v>705</v>
      </c>
    </row>
    <row r="487" spans="2:5" x14ac:dyDescent="0.2">
      <c r="B487" s="510" t="s">
        <v>754</v>
      </c>
      <c r="C487" s="510" t="s">
        <v>706</v>
      </c>
    </row>
    <row r="488" spans="2:5" x14ac:dyDescent="0.2">
      <c r="B488" s="510" t="s">
        <v>697</v>
      </c>
      <c r="C488" s="510" t="s">
        <v>707</v>
      </c>
    </row>
    <row r="489" spans="2:5" x14ac:dyDescent="0.2">
      <c r="B489" s="510" t="s">
        <v>28</v>
      </c>
      <c r="C489" s="510" t="s">
        <v>708</v>
      </c>
    </row>
    <row r="490" spans="2:5" ht="78.75" x14ac:dyDescent="0.2">
      <c r="B490" s="512" t="s">
        <v>489</v>
      </c>
      <c r="C490" s="512" t="s">
        <v>709</v>
      </c>
    </row>
    <row r="492" spans="2:5" x14ac:dyDescent="0.2">
      <c r="B492" s="510" t="s">
        <v>756</v>
      </c>
      <c r="C492" s="510" t="s">
        <v>710</v>
      </c>
    </row>
    <row r="493" spans="2:5" ht="56.25" x14ac:dyDescent="0.2">
      <c r="B493" s="512" t="s">
        <v>0</v>
      </c>
      <c r="C493" s="512" t="s">
        <v>711</v>
      </c>
      <c r="D493" s="510" t="s">
        <v>9</v>
      </c>
      <c r="E493" s="510" t="s">
        <v>725</v>
      </c>
    </row>
    <row r="494" spans="2:5" ht="33.75" x14ac:dyDescent="0.2">
      <c r="B494" s="512" t="s">
        <v>1</v>
      </c>
      <c r="C494" s="512" t="s">
        <v>712</v>
      </c>
      <c r="D494" s="510" t="s">
        <v>755</v>
      </c>
      <c r="E494" s="510" t="s">
        <v>724</v>
      </c>
    </row>
    <row r="495" spans="2:5" ht="22.5" x14ac:dyDescent="0.2">
      <c r="B495" s="512" t="s">
        <v>2</v>
      </c>
      <c r="C495" s="512" t="s">
        <v>713</v>
      </c>
    </row>
    <row r="496" spans="2:5" ht="22.5" x14ac:dyDescent="0.2">
      <c r="B496" s="512" t="s">
        <v>3</v>
      </c>
      <c r="C496" s="512" t="s">
        <v>714</v>
      </c>
    </row>
    <row r="497" spans="2:3" ht="22.5" x14ac:dyDescent="0.2">
      <c r="B497" s="512" t="s">
        <v>4</v>
      </c>
      <c r="C497" s="512" t="s">
        <v>715</v>
      </c>
    </row>
    <row r="498" spans="2:3" ht="33.75" x14ac:dyDescent="0.2">
      <c r="B498" s="512" t="s">
        <v>5</v>
      </c>
      <c r="C498" s="512" t="s">
        <v>716</v>
      </c>
    </row>
    <row r="499" spans="2:3" ht="22.5" x14ac:dyDescent="0.2">
      <c r="B499" s="512" t="s">
        <v>6</v>
      </c>
      <c r="C499" s="512" t="s">
        <v>722</v>
      </c>
    </row>
    <row r="500" spans="2:3" ht="45" x14ac:dyDescent="0.2">
      <c r="B500" s="512" t="s">
        <v>7</v>
      </c>
      <c r="C500" s="512" t="s">
        <v>721</v>
      </c>
    </row>
    <row r="501" spans="2:3" ht="45" x14ac:dyDescent="0.2">
      <c r="B501" s="512" t="s">
        <v>8</v>
      </c>
      <c r="C501" s="512" t="s">
        <v>723</v>
      </c>
    </row>
    <row r="502" spans="2:3" ht="22.5" x14ac:dyDescent="0.2">
      <c r="B502" s="512" t="s">
        <v>490</v>
      </c>
      <c r="C502" s="512" t="s">
        <v>491</v>
      </c>
    </row>
    <row r="504" spans="2:3" x14ac:dyDescent="0.2">
      <c r="B504" s="47" t="s">
        <v>10</v>
      </c>
      <c r="C504" s="47" t="s">
        <v>726</v>
      </c>
    </row>
    <row r="505" spans="2:3" ht="123.75" x14ac:dyDescent="0.2">
      <c r="B505" s="512" t="s">
        <v>834</v>
      </c>
      <c r="C505" s="512" t="s">
        <v>835</v>
      </c>
    </row>
    <row r="506" spans="2:3" ht="112.5" x14ac:dyDescent="0.2">
      <c r="B506" s="512" t="s">
        <v>833</v>
      </c>
      <c r="C506" s="512" t="s">
        <v>836</v>
      </c>
    </row>
    <row r="508" spans="2:3" x14ac:dyDescent="0.2">
      <c r="B508" s="512" t="s">
        <v>528</v>
      </c>
      <c r="C508" s="512" t="s">
        <v>730</v>
      </c>
    </row>
    <row r="509" spans="2:3" x14ac:dyDescent="0.2">
      <c r="B509" s="512" t="s">
        <v>11</v>
      </c>
      <c r="C509" s="512" t="s">
        <v>731</v>
      </c>
    </row>
    <row r="510" spans="2:3" x14ac:dyDescent="0.2">
      <c r="B510" s="512" t="s">
        <v>12</v>
      </c>
      <c r="C510" s="512" t="s">
        <v>463</v>
      </c>
    </row>
    <row r="512" spans="2:3" x14ac:dyDescent="0.2">
      <c r="B512" s="47" t="s">
        <v>14</v>
      </c>
      <c r="C512" s="47" t="s">
        <v>732</v>
      </c>
    </row>
    <row r="513" spans="2:3" ht="78.75" x14ac:dyDescent="0.2">
      <c r="B513" s="512" t="s">
        <v>1248</v>
      </c>
      <c r="C513" s="512" t="s">
        <v>1286</v>
      </c>
    </row>
    <row r="514" spans="2:3" x14ac:dyDescent="0.2">
      <c r="B514" s="512"/>
    </row>
    <row r="515" spans="2:3" ht="22.5" x14ac:dyDescent="0.2">
      <c r="B515" s="512" t="s">
        <v>837</v>
      </c>
      <c r="C515" s="512" t="s">
        <v>838</v>
      </c>
    </row>
    <row r="516" spans="2:3" x14ac:dyDescent="0.2">
      <c r="B516" s="512" t="s">
        <v>1282</v>
      </c>
      <c r="C516" s="512" t="s">
        <v>1283</v>
      </c>
    </row>
    <row r="517" spans="2:3" ht="22.5" x14ac:dyDescent="0.2">
      <c r="B517" s="512" t="s">
        <v>1251</v>
      </c>
      <c r="C517" s="512" t="s">
        <v>1252</v>
      </c>
    </row>
    <row r="518" spans="2:3" ht="22.5" x14ac:dyDescent="0.2">
      <c r="B518" s="512" t="s">
        <v>1249</v>
      </c>
      <c r="C518" s="512" t="s">
        <v>1250</v>
      </c>
    </row>
    <row r="519" spans="2:3" ht="22.5" x14ac:dyDescent="0.2">
      <c r="B519" s="512" t="s">
        <v>496</v>
      </c>
      <c r="C519" s="512" t="s">
        <v>503</v>
      </c>
    </row>
    <row r="520" spans="2:3" ht="33.75" x14ac:dyDescent="0.2">
      <c r="B520" s="512" t="s">
        <v>497</v>
      </c>
      <c r="C520" s="512" t="s">
        <v>504</v>
      </c>
    </row>
    <row r="521" spans="2:3" x14ac:dyDescent="0.2">
      <c r="B521" s="512" t="s">
        <v>498</v>
      </c>
      <c r="C521" s="512" t="s">
        <v>523</v>
      </c>
    </row>
    <row r="522" spans="2:3" ht="33.75" x14ac:dyDescent="0.2">
      <c r="B522" s="512" t="s">
        <v>500</v>
      </c>
      <c r="C522" s="512" t="s">
        <v>524</v>
      </c>
    </row>
    <row r="523" spans="2:3" ht="22.5" x14ac:dyDescent="0.2">
      <c r="B523" s="512" t="s">
        <v>499</v>
      </c>
      <c r="C523" s="512" t="s">
        <v>525</v>
      </c>
    </row>
    <row r="524" spans="2:3" ht="22.5" x14ac:dyDescent="0.2">
      <c r="B524" s="512" t="s">
        <v>1253</v>
      </c>
      <c r="C524" s="512" t="s">
        <v>1254</v>
      </c>
    </row>
    <row r="525" spans="2:3" ht="22.5" x14ac:dyDescent="0.2">
      <c r="B525" s="512" t="s">
        <v>501</v>
      </c>
      <c r="C525" s="512" t="s">
        <v>526</v>
      </c>
    </row>
    <row r="526" spans="2:3" ht="22.5" x14ac:dyDescent="0.2">
      <c r="B526" s="512" t="s">
        <v>502</v>
      </c>
      <c r="C526" s="512" t="s">
        <v>527</v>
      </c>
    </row>
    <row r="527" spans="2:3" ht="33.75" x14ac:dyDescent="0.2">
      <c r="B527" s="512" t="s">
        <v>778</v>
      </c>
      <c r="C527" s="512" t="s">
        <v>781</v>
      </c>
    </row>
    <row r="528" spans="2:3" x14ac:dyDescent="0.2">
      <c r="B528" s="512" t="s">
        <v>779</v>
      </c>
      <c r="C528" s="512" t="s">
        <v>782</v>
      </c>
    </row>
    <row r="529" spans="2:3" x14ac:dyDescent="0.2">
      <c r="B529" s="512" t="s">
        <v>777</v>
      </c>
      <c r="C529" s="512" t="s">
        <v>783</v>
      </c>
    </row>
    <row r="530" spans="2:3" ht="22.5" x14ac:dyDescent="0.2">
      <c r="B530" s="512" t="s">
        <v>780</v>
      </c>
      <c r="C530" s="512" t="s">
        <v>784</v>
      </c>
    </row>
    <row r="531" spans="2:3" ht="45" x14ac:dyDescent="0.2">
      <c r="B531" s="512" t="s">
        <v>1288</v>
      </c>
      <c r="C531" s="512" t="s">
        <v>1289</v>
      </c>
    </row>
    <row r="532" spans="2:3" ht="22.5" x14ac:dyDescent="0.2">
      <c r="B532" s="512" t="s">
        <v>1287</v>
      </c>
      <c r="C532" s="512" t="s">
        <v>1290</v>
      </c>
    </row>
    <row r="533" spans="2:3" ht="45" x14ac:dyDescent="0.2">
      <c r="B533" s="512" t="s">
        <v>1292</v>
      </c>
      <c r="C533" s="512" t="s">
        <v>1291</v>
      </c>
    </row>
    <row r="534" spans="2:3" x14ac:dyDescent="0.2">
      <c r="B534" s="512"/>
      <c r="C534" s="512"/>
    </row>
    <row r="535" spans="2:3" x14ac:dyDescent="0.2">
      <c r="B535" s="512"/>
    </row>
    <row r="536" spans="2:3" x14ac:dyDescent="0.2">
      <c r="B536" s="534">
        <v>2</v>
      </c>
    </row>
    <row r="537" spans="2:3" x14ac:dyDescent="0.2">
      <c r="B537" s="47" t="s">
        <v>64</v>
      </c>
    </row>
    <row r="538" spans="2:3" x14ac:dyDescent="0.2">
      <c r="B538" s="47" t="s">
        <v>619</v>
      </c>
    </row>
    <row r="539" spans="2:3" x14ac:dyDescent="0.2">
      <c r="B539" s="512"/>
    </row>
    <row r="540" spans="2:3" x14ac:dyDescent="0.2">
      <c r="B540" s="540" t="s">
        <v>1134</v>
      </c>
      <c r="C540" s="540" t="s">
        <v>1135</v>
      </c>
    </row>
    <row r="541" spans="2:3" x14ac:dyDescent="0.2">
      <c r="B541" s="540" t="s">
        <v>971</v>
      </c>
      <c r="C541" s="540" t="s">
        <v>973</v>
      </c>
    </row>
    <row r="542" spans="2:3" x14ac:dyDescent="0.2">
      <c r="B542" s="540" t="s">
        <v>972</v>
      </c>
      <c r="C542" s="510" t="s">
        <v>974</v>
      </c>
    </row>
    <row r="543" spans="2:3" x14ac:dyDescent="0.2">
      <c r="B543" s="540" t="s">
        <v>1129</v>
      </c>
      <c r="C543" s="540" t="s">
        <v>1131</v>
      </c>
    </row>
    <row r="544" spans="2:3" x14ac:dyDescent="0.2">
      <c r="B544" s="540" t="s">
        <v>1130</v>
      </c>
      <c r="C544" s="510" t="s">
        <v>1132</v>
      </c>
    </row>
    <row r="545" spans="2:3" x14ac:dyDescent="0.2">
      <c r="B545" s="540" t="s">
        <v>812</v>
      </c>
      <c r="C545" s="510" t="s">
        <v>1133</v>
      </c>
    </row>
    <row r="546" spans="2:3" x14ac:dyDescent="0.2">
      <c r="B546" s="512"/>
    </row>
    <row r="547" spans="2:3" ht="22.5" x14ac:dyDescent="0.2">
      <c r="B547" s="540" t="s">
        <v>492</v>
      </c>
      <c r="C547" s="540" t="s">
        <v>235</v>
      </c>
    </row>
    <row r="548" spans="2:3" ht="22.5" x14ac:dyDescent="0.2">
      <c r="B548" s="540" t="s">
        <v>234</v>
      </c>
      <c r="C548" s="540" t="s">
        <v>236</v>
      </c>
    </row>
    <row r="549" spans="2:3" x14ac:dyDescent="0.2">
      <c r="B549" s="512"/>
    </row>
    <row r="550" spans="2:3" ht="22.5" x14ac:dyDescent="0.2">
      <c r="B550" s="516" t="s">
        <v>333</v>
      </c>
      <c r="C550" s="47" t="s">
        <v>530</v>
      </c>
    </row>
    <row r="551" spans="2:3" ht="67.5" x14ac:dyDescent="0.2">
      <c r="B551" s="512" t="s">
        <v>529</v>
      </c>
      <c r="C551" s="512" t="s">
        <v>215</v>
      </c>
    </row>
    <row r="552" spans="2:3" x14ac:dyDescent="0.2">
      <c r="B552" s="512" t="s">
        <v>29</v>
      </c>
      <c r="C552" s="510" t="s">
        <v>216</v>
      </c>
    </row>
    <row r="553" spans="2:3" x14ac:dyDescent="0.2">
      <c r="B553" s="512" t="s">
        <v>37</v>
      </c>
      <c r="C553" s="510" t="s">
        <v>217</v>
      </c>
    </row>
    <row r="554" spans="2:3" x14ac:dyDescent="0.2">
      <c r="B554" s="512" t="s">
        <v>36</v>
      </c>
      <c r="C554" s="510" t="s">
        <v>218</v>
      </c>
    </row>
    <row r="555" spans="2:3" x14ac:dyDescent="0.2">
      <c r="B555" s="512" t="s">
        <v>38</v>
      </c>
      <c r="C555" s="510" t="s">
        <v>219</v>
      </c>
    </row>
    <row r="556" spans="2:3" x14ac:dyDescent="0.2">
      <c r="B556" s="512" t="s">
        <v>19</v>
      </c>
      <c r="C556" s="510" t="s">
        <v>675</v>
      </c>
    </row>
    <row r="557" spans="2:3" x14ac:dyDescent="0.2">
      <c r="B557" s="512" t="s">
        <v>18</v>
      </c>
      <c r="C557" s="510" t="s">
        <v>462</v>
      </c>
    </row>
    <row r="558" spans="2:3" x14ac:dyDescent="0.2">
      <c r="B558" s="512" t="s">
        <v>39</v>
      </c>
      <c r="C558" s="556" t="s">
        <v>220</v>
      </c>
    </row>
    <row r="559" spans="2:3" x14ac:dyDescent="0.2">
      <c r="B559" s="512" t="s">
        <v>41</v>
      </c>
      <c r="C559" s="510" t="s">
        <v>301</v>
      </c>
    </row>
    <row r="560" spans="2:3" x14ac:dyDescent="0.2">
      <c r="B560" s="512" t="s">
        <v>42</v>
      </c>
      <c r="C560" s="510" t="s">
        <v>65</v>
      </c>
    </row>
    <row r="561" spans="2:3" x14ac:dyDescent="0.2">
      <c r="B561" s="512" t="s">
        <v>40</v>
      </c>
      <c r="C561" s="510" t="s">
        <v>221</v>
      </c>
    </row>
    <row r="562" spans="2:3" x14ac:dyDescent="0.2">
      <c r="B562" s="512" t="s">
        <v>610</v>
      </c>
      <c r="C562" s="510" t="s">
        <v>676</v>
      </c>
    </row>
    <row r="563" spans="2:3" x14ac:dyDescent="0.2">
      <c r="B563" s="512"/>
    </row>
    <row r="564" spans="2:3" ht="56.25" x14ac:dyDescent="0.2">
      <c r="B564" s="512" t="s">
        <v>222</v>
      </c>
      <c r="C564" s="512" t="s">
        <v>233</v>
      </c>
    </row>
    <row r="565" spans="2:3" x14ac:dyDescent="0.2">
      <c r="B565" s="512" t="s">
        <v>223</v>
      </c>
      <c r="C565" s="510" t="s">
        <v>225</v>
      </c>
    </row>
    <row r="566" spans="2:3" x14ac:dyDescent="0.2">
      <c r="B566" s="512" t="s">
        <v>37</v>
      </c>
      <c r="C566" s="510" t="s">
        <v>226</v>
      </c>
    </row>
    <row r="567" spans="2:3" x14ac:dyDescent="0.2">
      <c r="B567" s="512" t="s">
        <v>20</v>
      </c>
      <c r="C567" s="510" t="s">
        <v>227</v>
      </c>
    </row>
    <row r="568" spans="2:3" x14ac:dyDescent="0.2">
      <c r="B568" s="512" t="s">
        <v>224</v>
      </c>
      <c r="C568" s="510" t="s">
        <v>228</v>
      </c>
    </row>
    <row r="569" spans="2:3" x14ac:dyDescent="0.2">
      <c r="B569" s="512" t="s">
        <v>674</v>
      </c>
      <c r="C569" s="510" t="s">
        <v>675</v>
      </c>
    </row>
    <row r="570" spans="2:3" x14ac:dyDescent="0.2">
      <c r="B570" s="512" t="s">
        <v>18</v>
      </c>
      <c r="C570" s="510" t="s">
        <v>462</v>
      </c>
    </row>
    <row r="571" spans="2:3" x14ac:dyDescent="0.2">
      <c r="B571" s="512" t="s">
        <v>39</v>
      </c>
      <c r="C571" s="556" t="s">
        <v>220</v>
      </c>
    </row>
    <row r="572" spans="2:3" x14ac:dyDescent="0.2">
      <c r="B572" s="512" t="s">
        <v>41</v>
      </c>
      <c r="C572" s="510" t="s">
        <v>301</v>
      </c>
    </row>
    <row r="573" spans="2:3" x14ac:dyDescent="0.2">
      <c r="B573" s="512" t="s">
        <v>42</v>
      </c>
      <c r="C573" s="510" t="s">
        <v>65</v>
      </c>
    </row>
    <row r="574" spans="2:3" x14ac:dyDescent="0.2">
      <c r="B574" s="512" t="s">
        <v>40</v>
      </c>
      <c r="C574" s="510" t="s">
        <v>221</v>
      </c>
    </row>
    <row r="575" spans="2:3" x14ac:dyDescent="0.2">
      <c r="B575" s="512" t="s">
        <v>610</v>
      </c>
      <c r="C575" s="510" t="s">
        <v>676</v>
      </c>
    </row>
    <row r="577" spans="2:3" ht="33.75" x14ac:dyDescent="0.2">
      <c r="B577" s="512" t="s">
        <v>342</v>
      </c>
      <c r="C577" s="512" t="s">
        <v>334</v>
      </c>
    </row>
    <row r="578" spans="2:3" x14ac:dyDescent="0.2">
      <c r="B578" s="512" t="s">
        <v>335</v>
      </c>
      <c r="C578" s="510" t="s">
        <v>338</v>
      </c>
    </row>
    <row r="579" spans="2:3" x14ac:dyDescent="0.2">
      <c r="B579" s="512" t="s">
        <v>343</v>
      </c>
      <c r="C579" s="510" t="s">
        <v>339</v>
      </c>
    </row>
    <row r="580" spans="2:3" x14ac:dyDescent="0.2">
      <c r="B580" s="512" t="s">
        <v>20</v>
      </c>
      <c r="C580" s="510" t="s">
        <v>227</v>
      </c>
    </row>
    <row r="581" spans="2:3" x14ac:dyDescent="0.2">
      <c r="B581" s="512" t="s">
        <v>336</v>
      </c>
      <c r="C581" s="510" t="s">
        <v>340</v>
      </c>
    </row>
    <row r="582" spans="2:3" x14ac:dyDescent="0.2">
      <c r="B582" s="512" t="s">
        <v>674</v>
      </c>
      <c r="C582" s="510" t="s">
        <v>675</v>
      </c>
    </row>
    <row r="583" spans="2:3" x14ac:dyDescent="0.2">
      <c r="B583" s="512" t="s">
        <v>18</v>
      </c>
      <c r="C583" s="510" t="s">
        <v>462</v>
      </c>
    </row>
    <row r="584" spans="2:3" x14ac:dyDescent="0.2">
      <c r="B584" s="512" t="s">
        <v>39</v>
      </c>
      <c r="C584" s="556" t="s">
        <v>220</v>
      </c>
    </row>
    <row r="585" spans="2:3" x14ac:dyDescent="0.2">
      <c r="B585" s="512" t="s">
        <v>41</v>
      </c>
      <c r="C585" s="510" t="s">
        <v>301</v>
      </c>
    </row>
    <row r="586" spans="2:3" x14ac:dyDescent="0.2">
      <c r="B586" s="512" t="s">
        <v>42</v>
      </c>
      <c r="C586" s="510" t="s">
        <v>65</v>
      </c>
    </row>
    <row r="587" spans="2:3" x14ac:dyDescent="0.2">
      <c r="B587" s="512" t="s">
        <v>337</v>
      </c>
      <c r="C587" s="510" t="s">
        <v>341</v>
      </c>
    </row>
    <row r="588" spans="2:3" x14ac:dyDescent="0.2">
      <c r="B588" s="512" t="s">
        <v>610</v>
      </c>
      <c r="C588" s="510" t="s">
        <v>676</v>
      </c>
    </row>
    <row r="592" spans="2:3" x14ac:dyDescent="0.2">
      <c r="B592" s="534">
        <v>2</v>
      </c>
    </row>
    <row r="593" spans="2:3" x14ac:dyDescent="0.2">
      <c r="B593" s="47" t="s">
        <v>64</v>
      </c>
    </row>
    <row r="594" spans="2:3" x14ac:dyDescent="0.2">
      <c r="B594" s="47" t="s">
        <v>619</v>
      </c>
    </row>
    <row r="596" spans="2:3" ht="22.5" x14ac:dyDescent="0.2">
      <c r="B596" s="512" t="s">
        <v>15</v>
      </c>
      <c r="C596" s="510" t="s">
        <v>16</v>
      </c>
    </row>
    <row r="597" spans="2:3" ht="33.75" x14ac:dyDescent="0.2">
      <c r="B597" s="512" t="s">
        <v>1280</v>
      </c>
      <c r="C597" s="512" t="s">
        <v>1281</v>
      </c>
    </row>
    <row r="598" spans="2:3" x14ac:dyDescent="0.2">
      <c r="B598" s="510" t="s">
        <v>743</v>
      </c>
      <c r="C598" s="510" t="s">
        <v>468</v>
      </c>
    </row>
    <row r="599" spans="2:3" x14ac:dyDescent="0.2">
      <c r="B599" s="510" t="s">
        <v>466</v>
      </c>
      <c r="C599" s="510" t="s">
        <v>217</v>
      </c>
    </row>
    <row r="600" spans="2:3" x14ac:dyDescent="0.2">
      <c r="B600" s="510" t="s">
        <v>467</v>
      </c>
      <c r="C600" s="510" t="s">
        <v>469</v>
      </c>
    </row>
    <row r="601" spans="2:3" x14ac:dyDescent="0.2">
      <c r="B601" s="510" t="s">
        <v>38</v>
      </c>
      <c r="C601" s="510" t="s">
        <v>219</v>
      </c>
    </row>
    <row r="602" spans="2:3" x14ac:dyDescent="0.2">
      <c r="B602" s="510" t="s">
        <v>372</v>
      </c>
      <c r="C602" s="510" t="s">
        <v>379</v>
      </c>
    </row>
    <row r="603" spans="2:3" x14ac:dyDescent="0.2">
      <c r="B603" s="510" t="s">
        <v>373</v>
      </c>
      <c r="C603" s="510" t="s">
        <v>377</v>
      </c>
    </row>
    <row r="604" spans="2:3" x14ac:dyDescent="0.2">
      <c r="B604" s="510" t="s">
        <v>374</v>
      </c>
      <c r="C604" s="510" t="s">
        <v>378</v>
      </c>
    </row>
    <row r="605" spans="2:3" ht="22.5" x14ac:dyDescent="0.2">
      <c r="B605" s="512" t="s">
        <v>375</v>
      </c>
      <c r="C605" s="510" t="s">
        <v>380</v>
      </c>
    </row>
    <row r="606" spans="2:3" x14ac:dyDescent="0.2">
      <c r="B606" s="510" t="s">
        <v>376</v>
      </c>
      <c r="C606" s="510" t="s">
        <v>381</v>
      </c>
    </row>
    <row r="607" spans="2:3" x14ac:dyDescent="0.2">
      <c r="B607" s="512" t="s">
        <v>610</v>
      </c>
      <c r="C607" s="510" t="s">
        <v>676</v>
      </c>
    </row>
    <row r="608" spans="2:3" x14ac:dyDescent="0.2">
      <c r="B608" s="512"/>
    </row>
    <row r="609" spans="2:3" x14ac:dyDescent="0.2">
      <c r="B609" s="512" t="s">
        <v>1255</v>
      </c>
      <c r="C609" s="510" t="s">
        <v>1262</v>
      </c>
    </row>
    <row r="610" spans="2:3" x14ac:dyDescent="0.2">
      <c r="B610" s="512" t="s">
        <v>1275</v>
      </c>
      <c r="C610" s="510" t="s">
        <v>1276</v>
      </c>
    </row>
    <row r="611" spans="2:3" ht="22.5" x14ac:dyDescent="0.2">
      <c r="B611" s="512" t="s">
        <v>1259</v>
      </c>
      <c r="C611" s="510" t="s">
        <v>1263</v>
      </c>
    </row>
    <row r="612" spans="2:3" x14ac:dyDescent="0.2">
      <c r="B612" s="512" t="s">
        <v>1269</v>
      </c>
      <c r="C612" s="510" t="s">
        <v>1264</v>
      </c>
    </row>
    <row r="613" spans="2:3" ht="22.5" x14ac:dyDescent="0.2">
      <c r="B613" s="512" t="s">
        <v>1270</v>
      </c>
      <c r="C613" s="510" t="s">
        <v>1266</v>
      </c>
    </row>
    <row r="614" spans="2:3" ht="22.5" x14ac:dyDescent="0.2">
      <c r="B614" s="512" t="s">
        <v>1271</v>
      </c>
      <c r="C614" s="510" t="s">
        <v>1265</v>
      </c>
    </row>
    <row r="615" spans="2:3" x14ac:dyDescent="0.2">
      <c r="B615" s="512" t="s">
        <v>1272</v>
      </c>
      <c r="C615" s="510" t="s">
        <v>1267</v>
      </c>
    </row>
    <row r="616" spans="2:3" x14ac:dyDescent="0.2">
      <c r="B616" s="512" t="s">
        <v>1273</v>
      </c>
      <c r="C616" s="510" t="s">
        <v>1268</v>
      </c>
    </row>
    <row r="617" spans="2:3" x14ac:dyDescent="0.2">
      <c r="B617" s="512"/>
    </row>
    <row r="618" spans="2:3" x14ac:dyDescent="0.2">
      <c r="B618" s="512" t="s">
        <v>1257</v>
      </c>
      <c r="C618" s="510" t="s">
        <v>1274</v>
      </c>
    </row>
    <row r="619" spans="2:3" x14ac:dyDescent="0.2">
      <c r="B619" s="512" t="s">
        <v>1258</v>
      </c>
      <c r="C619" s="510" t="s">
        <v>1277</v>
      </c>
    </row>
    <row r="620" spans="2:3" ht="22.5" x14ac:dyDescent="0.2">
      <c r="B620" s="512" t="s">
        <v>1260</v>
      </c>
      <c r="C620" s="510" t="s">
        <v>1278</v>
      </c>
    </row>
    <row r="621" spans="2:3" ht="22.5" x14ac:dyDescent="0.2">
      <c r="B621" s="512" t="s">
        <v>1261</v>
      </c>
      <c r="C621" s="510" t="s">
        <v>1279</v>
      </c>
    </row>
    <row r="622" spans="2:3" x14ac:dyDescent="0.2">
      <c r="B622" s="512"/>
    </row>
    <row r="623" spans="2:3" x14ac:dyDescent="0.2">
      <c r="B623" s="512"/>
    </row>
    <row r="624" spans="2:3" x14ac:dyDescent="0.2">
      <c r="B624" s="512">
        <v>2</v>
      </c>
    </row>
    <row r="625" spans="2:3" x14ac:dyDescent="0.2">
      <c r="B625" s="47" t="s">
        <v>64</v>
      </c>
    </row>
    <row r="626" spans="2:3" x14ac:dyDescent="0.2">
      <c r="B626" s="47" t="s">
        <v>619</v>
      </c>
      <c r="C626" s="548"/>
    </row>
    <row r="627" spans="2:3" x14ac:dyDescent="0.2">
      <c r="B627" s="47"/>
      <c r="C627" s="548"/>
    </row>
    <row r="628" spans="2:3" x14ac:dyDescent="0.2">
      <c r="B628" s="8" t="s">
        <v>905</v>
      </c>
      <c r="C628" s="521" t="s">
        <v>904</v>
      </c>
    </row>
    <row r="629" spans="2:3" x14ac:dyDescent="0.2">
      <c r="B629" s="510" t="s">
        <v>893</v>
      </c>
      <c r="C629" s="551" t="s">
        <v>906</v>
      </c>
    </row>
    <row r="630" spans="2:3" x14ac:dyDescent="0.2">
      <c r="B630" s="510" t="s">
        <v>858</v>
      </c>
      <c r="C630" s="557" t="s">
        <v>907</v>
      </c>
    </row>
    <row r="631" spans="2:3" x14ac:dyDescent="0.2">
      <c r="B631" s="510" t="s">
        <v>854</v>
      </c>
      <c r="C631" s="510" t="s">
        <v>908</v>
      </c>
    </row>
    <row r="632" spans="2:3" x14ac:dyDescent="0.2">
      <c r="B632" s="510" t="s">
        <v>855</v>
      </c>
      <c r="C632" s="510" t="s">
        <v>909</v>
      </c>
    </row>
    <row r="633" spans="2:3" x14ac:dyDescent="0.2">
      <c r="B633" s="510" t="s">
        <v>856</v>
      </c>
      <c r="C633" s="510" t="s">
        <v>910</v>
      </c>
    </row>
    <row r="634" spans="2:3" x14ac:dyDescent="0.2">
      <c r="B634" s="510" t="s">
        <v>857</v>
      </c>
      <c r="C634" s="510" t="s">
        <v>911</v>
      </c>
    </row>
    <row r="635" spans="2:3" x14ac:dyDescent="0.2">
      <c r="B635" s="510" t="s">
        <v>860</v>
      </c>
      <c r="C635" s="510" t="s">
        <v>912</v>
      </c>
    </row>
    <row r="636" spans="2:3" x14ac:dyDescent="0.2">
      <c r="B636" s="510" t="s">
        <v>861</v>
      </c>
      <c r="C636" s="510" t="s">
        <v>914</v>
      </c>
    </row>
    <row r="637" spans="2:3" x14ac:dyDescent="0.2">
      <c r="B637" s="510" t="s">
        <v>862</v>
      </c>
      <c r="C637" s="510" t="s">
        <v>915</v>
      </c>
    </row>
    <row r="638" spans="2:3" x14ac:dyDescent="0.2">
      <c r="B638" s="510" t="s">
        <v>863</v>
      </c>
      <c r="C638" s="510" t="s">
        <v>916</v>
      </c>
    </row>
    <row r="639" spans="2:3" x14ac:dyDescent="0.2">
      <c r="B639" s="510" t="s">
        <v>859</v>
      </c>
      <c r="C639" s="510" t="s">
        <v>913</v>
      </c>
    </row>
    <row r="640" spans="2:3" x14ac:dyDescent="0.2">
      <c r="B640" s="510" t="s">
        <v>932</v>
      </c>
      <c r="C640" s="510" t="s">
        <v>917</v>
      </c>
    </row>
    <row r="641" spans="2:3" x14ac:dyDescent="0.2">
      <c r="B641" s="510" t="s">
        <v>938</v>
      </c>
      <c r="C641" s="510" t="s">
        <v>918</v>
      </c>
    </row>
    <row r="642" spans="2:3" x14ac:dyDescent="0.2">
      <c r="B642" s="510" t="s">
        <v>933</v>
      </c>
      <c r="C642" s="510" t="s">
        <v>919</v>
      </c>
    </row>
    <row r="643" spans="2:3" x14ac:dyDescent="0.2">
      <c r="B643" s="510" t="s">
        <v>864</v>
      </c>
      <c r="C643" s="510" t="s">
        <v>920</v>
      </c>
    </row>
    <row r="644" spans="2:3" x14ac:dyDescent="0.2">
      <c r="B644" s="510" t="s">
        <v>934</v>
      </c>
      <c r="C644" s="510" t="s">
        <v>917</v>
      </c>
    </row>
    <row r="645" spans="2:3" x14ac:dyDescent="0.2">
      <c r="B645" s="510" t="s">
        <v>935</v>
      </c>
      <c r="C645" s="510" t="s">
        <v>918</v>
      </c>
    </row>
    <row r="646" spans="2:3" x14ac:dyDescent="0.2">
      <c r="B646" s="510" t="s">
        <v>936</v>
      </c>
      <c r="C646" s="510" t="s">
        <v>921</v>
      </c>
    </row>
    <row r="647" spans="2:3" x14ac:dyDescent="0.2">
      <c r="B647" s="510" t="s">
        <v>865</v>
      </c>
      <c r="C647" s="510" t="s">
        <v>922</v>
      </c>
    </row>
    <row r="648" spans="2:3" x14ac:dyDescent="0.2">
      <c r="B648" s="510" t="s">
        <v>934</v>
      </c>
      <c r="C648" s="510" t="s">
        <v>917</v>
      </c>
    </row>
    <row r="649" spans="2:3" x14ac:dyDescent="0.2">
      <c r="B649" s="510" t="s">
        <v>935</v>
      </c>
      <c r="C649" s="510" t="s">
        <v>918</v>
      </c>
    </row>
    <row r="650" spans="2:3" x14ac:dyDescent="0.2">
      <c r="B650" s="510" t="s">
        <v>937</v>
      </c>
      <c r="C650" s="510" t="s">
        <v>923</v>
      </c>
    </row>
    <row r="651" spans="2:3" x14ac:dyDescent="0.2">
      <c r="B651" s="510" t="s">
        <v>892</v>
      </c>
      <c r="C651" s="510" t="s">
        <v>924</v>
      </c>
    </row>
    <row r="652" spans="2:3" x14ac:dyDescent="0.2">
      <c r="B652" s="510" t="s">
        <v>866</v>
      </c>
      <c r="C652" s="510" t="s">
        <v>925</v>
      </c>
    </row>
    <row r="653" spans="2:3" x14ac:dyDescent="0.2">
      <c r="B653" s="510" t="s">
        <v>867</v>
      </c>
      <c r="C653" s="510" t="s">
        <v>926</v>
      </c>
    </row>
    <row r="654" spans="2:3" x14ac:dyDescent="0.2">
      <c r="B654" s="510" t="s">
        <v>868</v>
      </c>
      <c r="C654" s="510" t="s">
        <v>927</v>
      </c>
    </row>
    <row r="656" spans="2:3" x14ac:dyDescent="0.2">
      <c r="B656" s="510" t="s">
        <v>869</v>
      </c>
      <c r="C656" s="510" t="s">
        <v>928</v>
      </c>
    </row>
    <row r="657" spans="2:3" x14ac:dyDescent="0.2">
      <c r="B657" s="510" t="s">
        <v>871</v>
      </c>
      <c r="C657" s="510" t="s">
        <v>929</v>
      </c>
    </row>
    <row r="658" spans="2:3" x14ac:dyDescent="0.2">
      <c r="B658" s="510" t="s">
        <v>157</v>
      </c>
      <c r="C658" s="510" t="s">
        <v>930</v>
      </c>
    </row>
    <row r="659" spans="2:3" x14ac:dyDescent="0.2">
      <c r="B659" s="510" t="s">
        <v>870</v>
      </c>
      <c r="C659" s="510" t="s">
        <v>931</v>
      </c>
    </row>
    <row r="660" spans="2:3" x14ac:dyDescent="0.2">
      <c r="B660" s="510" t="s">
        <v>1168</v>
      </c>
      <c r="C660" s="510" t="s">
        <v>1170</v>
      </c>
    </row>
    <row r="661" spans="2:3" x14ac:dyDescent="0.2">
      <c r="B661" s="510" t="s">
        <v>1169</v>
      </c>
      <c r="C661" s="510" t="s">
        <v>1171</v>
      </c>
    </row>
    <row r="663" spans="2:3" x14ac:dyDescent="0.2">
      <c r="B663" s="510" t="s">
        <v>1172</v>
      </c>
      <c r="C663" s="510" t="s">
        <v>1173</v>
      </c>
    </row>
    <row r="664" spans="2:3" x14ac:dyDescent="0.2">
      <c r="B664" s="510" t="s">
        <v>869</v>
      </c>
      <c r="C664" s="510" t="s">
        <v>928</v>
      </c>
    </row>
    <row r="665" spans="2:3" x14ac:dyDescent="0.2">
      <c r="B665" s="510" t="s">
        <v>871</v>
      </c>
      <c r="C665" s="510" t="s">
        <v>929</v>
      </c>
    </row>
    <row r="666" spans="2:3" x14ac:dyDescent="0.2">
      <c r="B666" s="510" t="s">
        <v>157</v>
      </c>
      <c r="C666" s="510" t="s">
        <v>1174</v>
      </c>
    </row>
    <row r="667" spans="2:3" x14ac:dyDescent="0.2">
      <c r="B667" s="510" t="s">
        <v>870</v>
      </c>
      <c r="C667" s="510" t="s">
        <v>931</v>
      </c>
    </row>
    <row r="670" spans="2:3" x14ac:dyDescent="0.2">
      <c r="B670" s="510">
        <v>2</v>
      </c>
    </row>
    <row r="671" spans="2:3" x14ac:dyDescent="0.2">
      <c r="B671" s="47" t="s">
        <v>64</v>
      </c>
    </row>
    <row r="672" spans="2:3" x14ac:dyDescent="0.2">
      <c r="B672" s="47" t="s">
        <v>619</v>
      </c>
    </row>
    <row r="674" spans="2:3" x14ac:dyDescent="0.2">
      <c r="B674" s="8" t="s">
        <v>1212</v>
      </c>
      <c r="C674" s="47" t="s">
        <v>1213</v>
      </c>
    </row>
    <row r="675" spans="2:3" x14ac:dyDescent="0.2">
      <c r="B675" s="1"/>
    </row>
    <row r="676" spans="2:3" x14ac:dyDescent="0.2">
      <c r="B676" s="8" t="s">
        <v>1190</v>
      </c>
      <c r="C676" s="510" t="s">
        <v>1214</v>
      </c>
    </row>
    <row r="677" spans="2:3" x14ac:dyDescent="0.2">
      <c r="B677" s="1" t="s">
        <v>1191</v>
      </c>
      <c r="C677" s="510" t="s">
        <v>1215</v>
      </c>
    </row>
    <row r="679" spans="2:3" x14ac:dyDescent="0.2">
      <c r="B679" s="510" t="s">
        <v>1211</v>
      </c>
      <c r="C679" s="510" t="s">
        <v>1216</v>
      </c>
    </row>
    <row r="680" spans="2:3" x14ac:dyDescent="0.2">
      <c r="B680" s="510" t="s">
        <v>1188</v>
      </c>
      <c r="C680" s="510" t="s">
        <v>448</v>
      </c>
    </row>
    <row r="681" spans="2:3" x14ac:dyDescent="0.2">
      <c r="B681" s="510" t="s">
        <v>1195</v>
      </c>
      <c r="C681" s="510" t="s">
        <v>1217</v>
      </c>
    </row>
    <row r="682" spans="2:3" x14ac:dyDescent="0.2">
      <c r="B682" s="510" t="s">
        <v>1208</v>
      </c>
      <c r="C682" s="510" t="s">
        <v>1218</v>
      </c>
    </row>
    <row r="683" spans="2:3" x14ac:dyDescent="0.2">
      <c r="B683" s="510" t="s">
        <v>1209</v>
      </c>
      <c r="C683" s="510" t="s">
        <v>1219</v>
      </c>
    </row>
    <row r="684" spans="2:3" x14ac:dyDescent="0.2">
      <c r="B684" s="510" t="s">
        <v>1196</v>
      </c>
      <c r="C684" s="510" t="s">
        <v>1220</v>
      </c>
    </row>
    <row r="685" spans="2:3" x14ac:dyDescent="0.2">
      <c r="B685" s="510" t="s">
        <v>1197</v>
      </c>
      <c r="C685" s="510" t="s">
        <v>1221</v>
      </c>
    </row>
    <row r="686" spans="2:3" x14ac:dyDescent="0.2">
      <c r="B686" s="510" t="s">
        <v>158</v>
      </c>
      <c r="C686" s="510" t="s">
        <v>983</v>
      </c>
    </row>
    <row r="687" spans="2:3" x14ac:dyDescent="0.2">
      <c r="B687" s="510" t="s">
        <v>1200</v>
      </c>
      <c r="C687" s="510" t="s">
        <v>455</v>
      </c>
    </row>
    <row r="688" spans="2:3" x14ac:dyDescent="0.2">
      <c r="B688" s="510" t="s">
        <v>1198</v>
      </c>
      <c r="C688" s="510" t="s">
        <v>1222</v>
      </c>
    </row>
    <row r="689" spans="2:3" x14ac:dyDescent="0.2">
      <c r="B689" s="510" t="s">
        <v>1223</v>
      </c>
      <c r="C689" s="510" t="s">
        <v>1064</v>
      </c>
    </row>
    <row r="690" spans="2:3" x14ac:dyDescent="0.2">
      <c r="B690" s="510" t="s">
        <v>1199</v>
      </c>
      <c r="C690" s="510" t="s">
        <v>1224</v>
      </c>
    </row>
    <row r="691" spans="2:3" x14ac:dyDescent="0.2">
      <c r="B691" s="510" t="s">
        <v>1226</v>
      </c>
      <c r="C691" s="510" t="s">
        <v>1225</v>
      </c>
    </row>
    <row r="692" spans="2:3" x14ac:dyDescent="0.2">
      <c r="B692" s="510" t="s">
        <v>1293</v>
      </c>
      <c r="C692" s="510" t="s">
        <v>1227</v>
      </c>
    </row>
    <row r="693" spans="2:3" x14ac:dyDescent="0.2">
      <c r="B693" s="510" t="s">
        <v>1210</v>
      </c>
      <c r="C693" s="510" t="s">
        <v>1228</v>
      </c>
    </row>
    <row r="695" spans="2:3" x14ac:dyDescent="0.2">
      <c r="B695" s="510" t="s">
        <v>1187</v>
      </c>
      <c r="C695" s="510" t="s">
        <v>1229</v>
      </c>
    </row>
    <row r="696" spans="2:3" x14ac:dyDescent="0.2">
      <c r="B696" s="510" t="s">
        <v>1201</v>
      </c>
      <c r="C696" s="510" t="s">
        <v>1230</v>
      </c>
    </row>
    <row r="697" spans="2:3" x14ac:dyDescent="0.2">
      <c r="B697" s="510" t="s">
        <v>1192</v>
      </c>
      <c r="C697" s="510" t="s">
        <v>1231</v>
      </c>
    </row>
    <row r="698" spans="2:3" x14ac:dyDescent="0.2">
      <c r="B698" s="510" t="s">
        <v>1193</v>
      </c>
      <c r="C698" s="510" t="s">
        <v>1232</v>
      </c>
    </row>
    <row r="699" spans="2:3" x14ac:dyDescent="0.2">
      <c r="B699" s="510" t="s">
        <v>1194</v>
      </c>
      <c r="C699" s="510" t="s">
        <v>1233</v>
      </c>
    </row>
    <row r="700" spans="2:3" x14ac:dyDescent="0.2">
      <c r="B700" s="510" t="s">
        <v>1202</v>
      </c>
      <c r="C700" s="510" t="s">
        <v>1234</v>
      </c>
    </row>
    <row r="701" spans="2:3" x14ac:dyDescent="0.2">
      <c r="B701" s="510" t="s">
        <v>1203</v>
      </c>
      <c r="C701" s="510" t="s">
        <v>1235</v>
      </c>
    </row>
    <row r="702" spans="2:3" x14ac:dyDescent="0.2">
      <c r="B702" s="510" t="s">
        <v>627</v>
      </c>
      <c r="C702" s="510" t="s">
        <v>633</v>
      </c>
    </row>
    <row r="703" spans="2:3" x14ac:dyDescent="0.2">
      <c r="B703" s="510" t="s">
        <v>812</v>
      </c>
      <c r="C703" s="510" t="s">
        <v>1133</v>
      </c>
    </row>
    <row r="706" spans="2:3" x14ac:dyDescent="0.2">
      <c r="B706" s="8" t="s">
        <v>1204</v>
      </c>
      <c r="C706" s="47" t="s">
        <v>1236</v>
      </c>
    </row>
    <row r="707" spans="2:3" x14ac:dyDescent="0.2">
      <c r="B707" s="1" t="s">
        <v>1191</v>
      </c>
    </row>
    <row r="709" spans="2:3" x14ac:dyDescent="0.2">
      <c r="B709" s="1" t="s">
        <v>166</v>
      </c>
      <c r="C709" s="510" t="s">
        <v>1238</v>
      </c>
    </row>
    <row r="710" spans="2:3" x14ac:dyDescent="0.2">
      <c r="B710" s="1" t="s">
        <v>982</v>
      </c>
      <c r="C710" s="510" t="s">
        <v>1239</v>
      </c>
    </row>
    <row r="711" spans="2:3" x14ac:dyDescent="0.2">
      <c r="B711" s="1" t="s">
        <v>1293</v>
      </c>
      <c r="C711" s="510" t="s">
        <v>1227</v>
      </c>
    </row>
    <row r="712" spans="2:3" x14ac:dyDescent="0.2">
      <c r="B712" s="1" t="s">
        <v>1207</v>
      </c>
      <c r="C712" s="510" t="s">
        <v>1240</v>
      </c>
    </row>
    <row r="714" spans="2:3" x14ac:dyDescent="0.2">
      <c r="B714" s="510" t="s">
        <v>1205</v>
      </c>
      <c r="C714" s="510" t="s">
        <v>1241</v>
      </c>
    </row>
    <row r="715" spans="2:3" x14ac:dyDescent="0.2">
      <c r="B715" s="510" t="s">
        <v>1206</v>
      </c>
      <c r="C715" s="510" t="s">
        <v>1242</v>
      </c>
    </row>
    <row r="716" spans="2:3" x14ac:dyDescent="0.2">
      <c r="B716" s="510" t="s">
        <v>812</v>
      </c>
      <c r="C716" s="510" t="s">
        <v>1133</v>
      </c>
    </row>
    <row r="719" spans="2:3" x14ac:dyDescent="0.2">
      <c r="B719" s="510">
        <v>2</v>
      </c>
    </row>
    <row r="720" spans="2:3" x14ac:dyDescent="0.2">
      <c r="B720" s="47" t="s">
        <v>64</v>
      </c>
    </row>
    <row r="721" spans="2:3" x14ac:dyDescent="0.2">
      <c r="B721" s="47" t="s">
        <v>619</v>
      </c>
    </row>
    <row r="723" spans="2:3" x14ac:dyDescent="0.2">
      <c r="B723" s="510" t="s">
        <v>1316</v>
      </c>
      <c r="C723" s="510" t="s">
        <v>1404</v>
      </c>
    </row>
    <row r="724" spans="2:3" x14ac:dyDescent="0.2">
      <c r="B724" s="510" t="s">
        <v>1295</v>
      </c>
      <c r="C724" s="510" t="s">
        <v>1405</v>
      </c>
    </row>
    <row r="725" spans="2:3" x14ac:dyDescent="0.2">
      <c r="B725" s="510" t="s">
        <v>768</v>
      </c>
      <c r="C725" s="510" t="s">
        <v>1406</v>
      </c>
    </row>
    <row r="726" spans="2:3" x14ac:dyDescent="0.2">
      <c r="B726" s="510" t="s">
        <v>32</v>
      </c>
      <c r="C726" s="510" t="s">
        <v>1407</v>
      </c>
    </row>
    <row r="727" spans="2:3" x14ac:dyDescent="0.2">
      <c r="B727" s="510" t="s">
        <v>1297</v>
      </c>
      <c r="C727" s="510" t="s">
        <v>1454</v>
      </c>
    </row>
    <row r="728" spans="2:3" x14ac:dyDescent="0.2">
      <c r="B728" s="510" t="s">
        <v>1243</v>
      </c>
      <c r="C728" s="510" t="s">
        <v>1408</v>
      </c>
    </row>
    <row r="730" spans="2:3" x14ac:dyDescent="0.2">
      <c r="B730" s="510" t="s">
        <v>1296</v>
      </c>
      <c r="C730" s="510" t="s">
        <v>1409</v>
      </c>
    </row>
    <row r="731" spans="2:3" x14ac:dyDescent="0.2">
      <c r="B731" s="510" t="s">
        <v>1244</v>
      </c>
      <c r="C731" s="510" t="s">
        <v>1410</v>
      </c>
    </row>
    <row r="732" spans="2:3" x14ac:dyDescent="0.2">
      <c r="B732" s="510" t="s">
        <v>1245</v>
      </c>
      <c r="C732" s="510" t="s">
        <v>1411</v>
      </c>
    </row>
    <row r="733" spans="2:3" ht="33.75" x14ac:dyDescent="0.2">
      <c r="B733" s="512" t="s">
        <v>1298</v>
      </c>
      <c r="C733" s="512" t="s">
        <v>1412</v>
      </c>
    </row>
    <row r="734" spans="2:3" ht="33.75" x14ac:dyDescent="0.2">
      <c r="B734" s="512" t="s">
        <v>1299</v>
      </c>
      <c r="C734" s="512" t="s">
        <v>1413</v>
      </c>
    </row>
    <row r="735" spans="2:3" ht="22.5" x14ac:dyDescent="0.2">
      <c r="B735" s="512" t="s">
        <v>1300</v>
      </c>
      <c r="C735" s="512" t="s">
        <v>1414</v>
      </c>
    </row>
    <row r="736" spans="2:3" ht="22.5" x14ac:dyDescent="0.2">
      <c r="B736" s="512" t="s">
        <v>1301</v>
      </c>
      <c r="C736" s="512" t="s">
        <v>1415</v>
      </c>
    </row>
    <row r="737" spans="2:3" ht="22.5" x14ac:dyDescent="0.2">
      <c r="B737" s="512" t="s">
        <v>1392</v>
      </c>
      <c r="C737" s="512" t="s">
        <v>1416</v>
      </c>
    </row>
    <row r="738" spans="2:3" ht="22.5" x14ac:dyDescent="0.2">
      <c r="B738" s="512" t="s">
        <v>1307</v>
      </c>
      <c r="C738" s="512" t="s">
        <v>1417</v>
      </c>
    </row>
    <row r="739" spans="2:3" x14ac:dyDescent="0.2">
      <c r="B739" s="512" t="s">
        <v>1310</v>
      </c>
      <c r="C739" s="512" t="s">
        <v>1418</v>
      </c>
    </row>
    <row r="740" spans="2:3" x14ac:dyDescent="0.2">
      <c r="B740" s="512" t="s">
        <v>1312</v>
      </c>
      <c r="C740" s="512" t="s">
        <v>1419</v>
      </c>
    </row>
    <row r="741" spans="2:3" ht="45" x14ac:dyDescent="0.2">
      <c r="B741" s="512" t="s">
        <v>1391</v>
      </c>
      <c r="C741" s="512" t="s">
        <v>1420</v>
      </c>
    </row>
    <row r="742" spans="2:3" ht="22.5" x14ac:dyDescent="0.2">
      <c r="B742" s="512" t="s">
        <v>1389</v>
      </c>
      <c r="C742" s="512" t="s">
        <v>1421</v>
      </c>
    </row>
    <row r="743" spans="2:3" ht="22.5" x14ac:dyDescent="0.2">
      <c r="B743" s="512" t="s">
        <v>1390</v>
      </c>
      <c r="C743" s="512" t="s">
        <v>1422</v>
      </c>
    </row>
    <row r="744" spans="2:3" ht="22.5" x14ac:dyDescent="0.2">
      <c r="B744" s="512" t="s">
        <v>1403</v>
      </c>
      <c r="C744" s="512" t="s">
        <v>1423</v>
      </c>
    </row>
    <row r="745" spans="2:3" ht="33.75" x14ac:dyDescent="0.2">
      <c r="B745" s="512" t="s">
        <v>1313</v>
      </c>
      <c r="C745" s="512" t="s">
        <v>1424</v>
      </c>
    </row>
    <row r="746" spans="2:3" x14ac:dyDescent="0.2">
      <c r="B746" s="512" t="s">
        <v>1458</v>
      </c>
      <c r="C746" s="512" t="s">
        <v>1459</v>
      </c>
    </row>
    <row r="747" spans="2:3" x14ac:dyDescent="0.2">
      <c r="B747" s="512" t="s">
        <v>1456</v>
      </c>
      <c r="C747" s="512" t="s">
        <v>1457</v>
      </c>
    </row>
    <row r="748" spans="2:3" x14ac:dyDescent="0.2">
      <c r="B748" s="512" t="s">
        <v>1311</v>
      </c>
      <c r="C748" s="512" t="s">
        <v>1425</v>
      </c>
    </row>
    <row r="749" spans="2:3" ht="22.5" x14ac:dyDescent="0.2">
      <c r="B749" s="512" t="s">
        <v>1314</v>
      </c>
      <c r="C749" s="512" t="s">
        <v>1426</v>
      </c>
    </row>
    <row r="750" spans="2:3" ht="22.5" x14ac:dyDescent="0.2">
      <c r="B750" s="512" t="s">
        <v>1395</v>
      </c>
      <c r="C750" s="512" t="s">
        <v>1427</v>
      </c>
    </row>
    <row r="751" spans="2:3" ht="22.5" x14ac:dyDescent="0.2">
      <c r="B751" s="512" t="s">
        <v>1396</v>
      </c>
      <c r="C751" s="512" t="s">
        <v>1428</v>
      </c>
    </row>
    <row r="752" spans="2:3" ht="22.5" x14ac:dyDescent="0.2">
      <c r="B752" s="512" t="s">
        <v>1397</v>
      </c>
      <c r="C752" s="512" t="s">
        <v>1429</v>
      </c>
    </row>
    <row r="753" spans="2:3" x14ac:dyDescent="0.2">
      <c r="B753" s="512" t="s">
        <v>1331</v>
      </c>
      <c r="C753" s="512" t="s">
        <v>1430</v>
      </c>
    </row>
    <row r="754" spans="2:3" ht="22.5" x14ac:dyDescent="0.2">
      <c r="B754" s="512" t="s">
        <v>1309</v>
      </c>
      <c r="C754" s="512" t="s">
        <v>1431</v>
      </c>
    </row>
    <row r="755" spans="2:3" ht="22.5" x14ac:dyDescent="0.2">
      <c r="B755" s="512" t="s">
        <v>1302</v>
      </c>
      <c r="C755" s="512" t="s">
        <v>1432</v>
      </c>
    </row>
    <row r="756" spans="2:3" x14ac:dyDescent="0.2">
      <c r="B756" s="512" t="s">
        <v>1308</v>
      </c>
      <c r="C756" s="512" t="s">
        <v>1433</v>
      </c>
    </row>
    <row r="757" spans="2:3" x14ac:dyDescent="0.2">
      <c r="B757" s="512" t="s">
        <v>1445</v>
      </c>
      <c r="C757" s="512" t="s">
        <v>1446</v>
      </c>
    </row>
    <row r="758" spans="2:3" ht="56.25" x14ac:dyDescent="0.2">
      <c r="B758" s="512" t="s">
        <v>1447</v>
      </c>
      <c r="C758" s="512" t="s">
        <v>1444</v>
      </c>
    </row>
    <row r="759" spans="2:3" x14ac:dyDescent="0.2">
      <c r="B759" s="512" t="s">
        <v>1448</v>
      </c>
      <c r="C759" s="512" t="s">
        <v>1451</v>
      </c>
    </row>
    <row r="760" spans="2:3" x14ac:dyDescent="0.2">
      <c r="B760" s="512" t="s">
        <v>1449</v>
      </c>
      <c r="C760" s="512" t="s">
        <v>1450</v>
      </c>
    </row>
    <row r="761" spans="2:3" x14ac:dyDescent="0.2">
      <c r="B761" s="512" t="s">
        <v>1452</v>
      </c>
      <c r="C761" s="512" t="s">
        <v>1453</v>
      </c>
    </row>
    <row r="762" spans="2:3" x14ac:dyDescent="0.2">
      <c r="B762" s="512" t="s">
        <v>1402</v>
      </c>
      <c r="C762" s="512" t="s">
        <v>1434</v>
      </c>
    </row>
    <row r="763" spans="2:3" x14ac:dyDescent="0.2">
      <c r="B763" s="512" t="s">
        <v>1400</v>
      </c>
      <c r="C763" s="512" t="s">
        <v>1435</v>
      </c>
    </row>
    <row r="764" spans="2:3" x14ac:dyDescent="0.2">
      <c r="B764" s="512" t="s">
        <v>865</v>
      </c>
      <c r="C764" s="512" t="s">
        <v>922</v>
      </c>
    </row>
    <row r="765" spans="2:3" x14ac:dyDescent="0.2">
      <c r="B765" s="512" t="s">
        <v>1399</v>
      </c>
      <c r="C765" s="512" t="s">
        <v>1436</v>
      </c>
    </row>
    <row r="766" spans="2:3" x14ac:dyDescent="0.2">
      <c r="B766" s="512" t="s">
        <v>719</v>
      </c>
      <c r="C766" s="512" t="s">
        <v>720</v>
      </c>
    </row>
    <row r="767" spans="2:3" x14ac:dyDescent="0.2">
      <c r="B767" s="512" t="s">
        <v>1401</v>
      </c>
      <c r="C767" s="512" t="s">
        <v>1437</v>
      </c>
    </row>
    <row r="768" spans="2:3" x14ac:dyDescent="0.2">
      <c r="B768" s="512"/>
      <c r="C768" s="512"/>
    </row>
    <row r="769" spans="2:3" ht="21.75" customHeight="1" x14ac:dyDescent="0.2">
      <c r="B769" s="512" t="s">
        <v>1303</v>
      </c>
      <c r="C769" s="512" t="s">
        <v>1438</v>
      </c>
    </row>
    <row r="770" spans="2:3" x14ac:dyDescent="0.2">
      <c r="B770" s="512" t="s">
        <v>1304</v>
      </c>
      <c r="C770" s="512" t="s">
        <v>1439</v>
      </c>
    </row>
    <row r="771" spans="2:3" x14ac:dyDescent="0.2">
      <c r="B771" s="512" t="s">
        <v>1305</v>
      </c>
      <c r="C771" s="512" t="s">
        <v>1440</v>
      </c>
    </row>
    <row r="772" spans="2:3" ht="22.5" x14ac:dyDescent="0.2">
      <c r="B772" s="512" t="s">
        <v>1398</v>
      </c>
      <c r="C772" s="512" t="s">
        <v>1441</v>
      </c>
    </row>
    <row r="773" spans="2:3" x14ac:dyDescent="0.2">
      <c r="B773" s="512" t="s">
        <v>1315</v>
      </c>
      <c r="C773" s="512" t="s">
        <v>1442</v>
      </c>
    </row>
    <row r="774" spans="2:3" ht="22.5" x14ac:dyDescent="0.2">
      <c r="B774" s="512" t="s">
        <v>1306</v>
      </c>
      <c r="C774" s="512" t="s">
        <v>1443</v>
      </c>
    </row>
  </sheetData>
  <sheetProtection formatCells="0"/>
  <mergeCells count="61">
    <mergeCell ref="B149:B150"/>
    <mergeCell ref="B153:B154"/>
    <mergeCell ref="D166:D167"/>
    <mergeCell ref="D151:D152"/>
    <mergeCell ref="D149:D150"/>
    <mergeCell ref="D153:D154"/>
    <mergeCell ref="B157:B158"/>
    <mergeCell ref="D157:D158"/>
    <mergeCell ref="B142:B143"/>
    <mergeCell ref="B144:B145"/>
    <mergeCell ref="D144:D145"/>
    <mergeCell ref="B147:B148"/>
    <mergeCell ref="D147:D148"/>
    <mergeCell ref="B126:B127"/>
    <mergeCell ref="B119:B120"/>
    <mergeCell ref="B121:B122"/>
    <mergeCell ref="B113:B114"/>
    <mergeCell ref="I364:K364"/>
    <mergeCell ref="D183:D184"/>
    <mergeCell ref="B134:B135"/>
    <mergeCell ref="B136:B137"/>
    <mergeCell ref="B168:B169"/>
    <mergeCell ref="D185:D186"/>
    <mergeCell ref="D180:D181"/>
    <mergeCell ref="B178:B179"/>
    <mergeCell ref="D168:D169"/>
    <mergeCell ref="B151:B152"/>
    <mergeCell ref="B115:B116"/>
    <mergeCell ref="B117:B118"/>
    <mergeCell ref="B185:B186"/>
    <mergeCell ref="D111:D112"/>
    <mergeCell ref="D115:D116"/>
    <mergeCell ref="D117:D118"/>
    <mergeCell ref="D119:D120"/>
    <mergeCell ref="D121:D122"/>
    <mergeCell ref="D123:D124"/>
    <mergeCell ref="D126:D127"/>
    <mergeCell ref="D113:D114"/>
    <mergeCell ref="D134:D135"/>
    <mergeCell ref="B173:B174"/>
    <mergeCell ref="D178:D179"/>
    <mergeCell ref="D173:D174"/>
    <mergeCell ref="D171:D172"/>
    <mergeCell ref="B111:B112"/>
    <mergeCell ref="B123:B124"/>
    <mergeCell ref="B183:B184"/>
    <mergeCell ref="D132:D133"/>
    <mergeCell ref="B138:B139"/>
    <mergeCell ref="D138:D139"/>
    <mergeCell ref="B128:B129"/>
    <mergeCell ref="D128:D129"/>
    <mergeCell ref="D130:D131"/>
    <mergeCell ref="B180:B181"/>
    <mergeCell ref="B171:B172"/>
    <mergeCell ref="B166:B167"/>
    <mergeCell ref="B132:B133"/>
    <mergeCell ref="D140:D141"/>
    <mergeCell ref="D142:D143"/>
    <mergeCell ref="B130:B131"/>
    <mergeCell ref="D136:D137"/>
    <mergeCell ref="B140:B141"/>
  </mergeCells>
  <phoneticPr fontId="9" type="noConversion"/>
  <dataValidations disablePrompts="1" count="11">
    <dataValidation allowBlank="1" showInputMessage="1" showErrorMessage="1" prompt="Есть ли требование к страхованию кредита/заемщика?" sqref="B653"/>
    <dataValidation allowBlank="1" showInputMessage="1" showErrorMessage="1" prompt="Укажите, какую комиссию должен заемщик заплатить по данному кредитному продукту" sqref="B652"/>
    <dataValidation allowBlank="1" showInputMessage="1" showErrorMessage="1" prompt="Проценты начисляются на остаток долга или на первоначальную сумму кредита?" sqref="B651"/>
    <dataValidation allowBlank="1" showInputMessage="1" showErrorMessage="1" prompt="Укажите действующую среднюю процентную ставку по данному кредитному продукту" sqref="B650"/>
    <dataValidation allowBlank="1" showInputMessage="1" showErrorMessage="1" prompt="Укажите действующий средний срок по данному кредитному продукту" sqref="B646"/>
    <dataValidation allowBlank="1" showInputMessage="1" showErrorMessage="1" prompt="Укажите действующую среднюю сумму кредита по данному кредитному продукту" sqref="B642"/>
    <dataValidation allowBlank="1" showInputMessage="1" showErrorMessage="1" prompt="Кол-во месяцев, через которое начинается погашение основной суммы кредитов" sqref="B638"/>
    <dataValidation allowBlank="1" showInputMessage="1" showErrorMessage="1" prompt="Ежемесячно, ежеквартально, аннуитет, в год один раз, в конце срока и т.д." sqref="B636:B637"/>
    <dataValidation allowBlank="1" showInputMessage="1" showErrorMessage="1" prompt="Какой залог должен быть выставлен, чтобы получить данный кредит?" sqref="B634"/>
    <dataValidation allowBlank="1" showInputMessage="1" showErrorMessage="1" prompt="Индивидуальный или групповой кредит?" sqref="B633"/>
    <dataValidation allowBlank="1" showInputMessage="1" showErrorMessage="1" prompt="Укажите, на какие цели выдается кредит" sqref="B632"/>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dimension ref="A1:J172"/>
  <sheetViews>
    <sheetView showGridLines="0" zoomScaleNormal="100" workbookViewId="0">
      <selection activeCell="G14" sqref="G14"/>
    </sheetView>
  </sheetViews>
  <sheetFormatPr defaultRowHeight="11.25" x14ac:dyDescent="0.2"/>
  <cols>
    <col min="1" max="1" width="4.140625" style="21" customWidth="1"/>
    <col min="2" max="2" width="24.85546875" style="21" customWidth="1"/>
    <col min="3" max="3" width="13.28515625" style="21" bestFit="1" customWidth="1"/>
    <col min="4" max="5" width="12.5703125" style="21" customWidth="1"/>
    <col min="6" max="7" width="12.28515625" style="21" customWidth="1"/>
    <col min="8" max="8" width="13.42578125" style="21" customWidth="1"/>
    <col min="9" max="9" width="10.5703125" style="21" customWidth="1"/>
    <col min="10" max="10" width="13.85546875" style="21" customWidth="1"/>
    <col min="11" max="11" width="12.85546875" style="21" customWidth="1"/>
    <col min="12" max="16384" width="9.140625" style="21"/>
  </cols>
  <sheetData>
    <row r="1" spans="1:10" x14ac:dyDescent="0.2">
      <c r="J1" s="152"/>
    </row>
    <row r="2" spans="1:10" x14ac:dyDescent="0.2">
      <c r="A2" s="11" t="str">
        <f>IF(Заявка!B15&gt;0,Заявка!B15,"")</f>
        <v/>
      </c>
      <c r="J2" s="152"/>
    </row>
    <row r="3" spans="1:10" ht="12" thickBot="1" x14ac:dyDescent="0.25">
      <c r="A3" s="11"/>
      <c r="J3" s="152"/>
    </row>
    <row r="4" spans="1:10" ht="12" thickBot="1" x14ac:dyDescent="0.25">
      <c r="A4" s="79" t="str">
        <f>IF(L!$B$536=2,L!B547,L!C547)</f>
        <v>Информация о полученных кредитах и других обязательствах по состоянию на последнюю отченую дату:</v>
      </c>
      <c r="I4" s="166">
        <f>Баланс!H6</f>
        <v>0</v>
      </c>
      <c r="J4" s="152"/>
    </row>
    <row r="5" spans="1:10" ht="12" thickBot="1" x14ac:dyDescent="0.25">
      <c r="A5" s="27" t="str">
        <f>IF(L!$B$536=2,L!B548,L!C548)</f>
        <v>Обменный курс 1 долл.США по отношению к национальной валюте на последнюю отчетную дату:</v>
      </c>
      <c r="I5" s="689">
        <v>0</v>
      </c>
    </row>
    <row r="6" spans="1:10" ht="12" thickBot="1" x14ac:dyDescent="0.25">
      <c r="A6" s="11"/>
      <c r="C6" s="32"/>
      <c r="I6" s="177"/>
    </row>
    <row r="7" spans="1:10" s="28" customFormat="1" ht="11.25" customHeight="1" x14ac:dyDescent="0.2">
      <c r="A7" s="927" t="str">
        <f>IF(L!$B$536=2,L!B550,L!C550)</f>
        <v>КРЕДИТНЫЕ ОТНОШЕНИЯ / ДЕПОЗИТЫ И ДРУГИЕ ОБЯЗАТЕЛЬСТВА</v>
      </c>
      <c r="B7" s="928"/>
      <c r="C7" s="928"/>
      <c r="D7" s="928"/>
      <c r="E7" s="928"/>
      <c r="F7" s="928"/>
      <c r="G7" s="928"/>
      <c r="H7" s="928"/>
      <c r="I7" s="929"/>
      <c r="J7" s="930"/>
    </row>
    <row r="8" spans="1:10" s="28" customFormat="1" ht="36.75" customHeight="1" x14ac:dyDescent="0.2">
      <c r="A8" s="921" t="str">
        <f>IF(L!$B$536=2,L!B551,L!C551)</f>
        <v xml:space="preserve">ТАБЛИЦА 1. Предоставьте, пожалуйста, информацию о кредитной истории Вашей организации, включая действующие займы, полученные у других Кредиторов, а также погашенные займы, векселя и закладные, подлежащие оплате. Приложите официальный документ от Кредитора, подтверждающий вашу кредитную историю.  </v>
      </c>
      <c r="B8" s="922"/>
      <c r="C8" s="922"/>
      <c r="D8" s="922"/>
      <c r="E8" s="922"/>
      <c r="F8" s="922"/>
      <c r="G8" s="922"/>
      <c r="H8" s="922"/>
      <c r="I8" s="922"/>
      <c r="J8" s="923"/>
    </row>
    <row r="9" spans="1:10" s="28" customFormat="1" ht="20.25" customHeight="1" x14ac:dyDescent="0.2">
      <c r="A9" s="933" t="s">
        <v>17</v>
      </c>
      <c r="B9" s="935" t="str">
        <f>IF(L!$B$536=2,L!B552,L!C552)</f>
        <v>Наименование кредитора</v>
      </c>
      <c r="C9" s="935" t="str">
        <f>IF(L!$B$536=2,L!B553,L!C553)</f>
        <v xml:space="preserve">Дата выдачи </v>
      </c>
      <c r="D9" s="935" t="str">
        <f>IF(L!$B$536=2,L!B554,L!C554)</f>
        <v>Дата полного погашения</v>
      </c>
      <c r="E9" s="935" t="str">
        <f>IF(L!$B$536=2,L!B555,L!C555)</f>
        <v>Сумма выданного кредита</v>
      </c>
      <c r="F9" s="935" t="str">
        <f>IF(L!$B$536=2,L!B556,L!C556)</f>
        <v>Валюта кредита</v>
      </c>
      <c r="G9" s="935" t="str">
        <f>IF(L!$B$536=2,L!B557,L!C557)</f>
        <v>Процентная ставка</v>
      </c>
      <c r="H9" s="931" t="str">
        <f>IF(L!$B$536=2,L!B558,L!C558)</f>
        <v>Текущий баланс/остаток долга</v>
      </c>
      <c r="I9" s="932"/>
      <c r="J9" s="937" t="str">
        <f>IF(L!$B$536=2,L!B561,L!C561)</f>
        <v>Залог</v>
      </c>
    </row>
    <row r="10" spans="1:10" s="28" customFormat="1" ht="33.75" customHeight="1" x14ac:dyDescent="0.2">
      <c r="A10" s="934"/>
      <c r="B10" s="936"/>
      <c r="C10" s="936"/>
      <c r="D10" s="936"/>
      <c r="E10" s="936"/>
      <c r="F10" s="936"/>
      <c r="G10" s="936"/>
      <c r="H10" s="46" t="str">
        <f>IF(L!$B$536=2,L!B559,L!C559)</f>
        <v>В национальной валюте</v>
      </c>
      <c r="I10" s="46" t="str">
        <f>IF(L!$B$536=2,L!B560,L!C560)</f>
        <v>В долларах США</v>
      </c>
      <c r="J10" s="938"/>
    </row>
    <row r="11" spans="1:10" s="28" customFormat="1" x14ac:dyDescent="0.2">
      <c r="A11" s="286">
        <v>1</v>
      </c>
      <c r="B11" s="167"/>
      <c r="C11" s="168"/>
      <c r="D11" s="168"/>
      <c r="E11" s="169"/>
      <c r="F11" s="170"/>
      <c r="G11" s="231"/>
      <c r="H11" s="169"/>
      <c r="I11" s="286" t="e">
        <f>H11/$I$5</f>
        <v>#DIV/0!</v>
      </c>
      <c r="J11" s="171"/>
    </row>
    <row r="12" spans="1:10" s="28" customFormat="1" x14ac:dyDescent="0.2">
      <c r="A12" s="286">
        <v>2</v>
      </c>
      <c r="B12" s="167"/>
      <c r="C12" s="168"/>
      <c r="D12" s="168"/>
      <c r="E12" s="169"/>
      <c r="F12" s="170"/>
      <c r="G12" s="231"/>
      <c r="H12" s="169"/>
      <c r="I12" s="286" t="e">
        <f t="shared" ref="I12:I39" si="0">H12/$I$5</f>
        <v>#DIV/0!</v>
      </c>
      <c r="J12" s="171"/>
    </row>
    <row r="13" spans="1:10" s="28" customFormat="1" x14ac:dyDescent="0.2">
      <c r="A13" s="286">
        <v>3</v>
      </c>
      <c r="B13" s="167"/>
      <c r="C13" s="168"/>
      <c r="D13" s="168"/>
      <c r="E13" s="169"/>
      <c r="F13" s="170"/>
      <c r="G13" s="231"/>
      <c r="H13" s="169"/>
      <c r="I13" s="286" t="e">
        <f t="shared" si="0"/>
        <v>#DIV/0!</v>
      </c>
      <c r="J13" s="171"/>
    </row>
    <row r="14" spans="1:10" s="28" customFormat="1" x14ac:dyDescent="0.2">
      <c r="A14" s="286">
        <v>4</v>
      </c>
      <c r="B14" s="167"/>
      <c r="C14" s="168"/>
      <c r="D14" s="168"/>
      <c r="E14" s="169"/>
      <c r="F14" s="170"/>
      <c r="G14" s="231"/>
      <c r="H14" s="169"/>
      <c r="I14" s="286" t="e">
        <f t="shared" si="0"/>
        <v>#DIV/0!</v>
      </c>
      <c r="J14" s="171"/>
    </row>
    <row r="15" spans="1:10" s="28" customFormat="1" x14ac:dyDescent="0.2">
      <c r="A15" s="286">
        <v>5</v>
      </c>
      <c r="B15" s="167"/>
      <c r="C15" s="168"/>
      <c r="D15" s="168"/>
      <c r="E15" s="169"/>
      <c r="F15" s="170"/>
      <c r="G15" s="231"/>
      <c r="H15" s="169"/>
      <c r="I15" s="286" t="e">
        <f t="shared" si="0"/>
        <v>#DIV/0!</v>
      </c>
      <c r="J15" s="171"/>
    </row>
    <row r="16" spans="1:10" s="28" customFormat="1" x14ac:dyDescent="0.2">
      <c r="A16" s="286">
        <v>6</v>
      </c>
      <c r="B16" s="167"/>
      <c r="C16" s="168"/>
      <c r="D16" s="168"/>
      <c r="E16" s="169"/>
      <c r="F16" s="170"/>
      <c r="G16" s="231"/>
      <c r="H16" s="169"/>
      <c r="I16" s="286" t="e">
        <f t="shared" si="0"/>
        <v>#DIV/0!</v>
      </c>
      <c r="J16" s="171"/>
    </row>
    <row r="17" spans="1:10" s="28" customFormat="1" x14ac:dyDescent="0.2">
      <c r="A17" s="286">
        <v>7</v>
      </c>
      <c r="B17" s="167"/>
      <c r="C17" s="168"/>
      <c r="D17" s="168"/>
      <c r="E17" s="169"/>
      <c r="F17" s="170"/>
      <c r="G17" s="231"/>
      <c r="H17" s="169"/>
      <c r="I17" s="286" t="e">
        <f t="shared" si="0"/>
        <v>#DIV/0!</v>
      </c>
      <c r="J17" s="171"/>
    </row>
    <row r="18" spans="1:10" s="28" customFormat="1" x14ac:dyDescent="0.2">
      <c r="A18" s="286">
        <v>8</v>
      </c>
      <c r="B18" s="167"/>
      <c r="C18" s="168"/>
      <c r="D18" s="168"/>
      <c r="E18" s="169"/>
      <c r="F18" s="170"/>
      <c r="G18" s="231"/>
      <c r="H18" s="169"/>
      <c r="I18" s="286" t="e">
        <f t="shared" si="0"/>
        <v>#DIV/0!</v>
      </c>
      <c r="J18" s="171"/>
    </row>
    <row r="19" spans="1:10" s="28" customFormat="1" x14ac:dyDescent="0.2">
      <c r="A19" s="286">
        <v>9</v>
      </c>
      <c r="B19" s="167"/>
      <c r="C19" s="168"/>
      <c r="D19" s="168"/>
      <c r="E19" s="169"/>
      <c r="F19" s="170"/>
      <c r="G19" s="231"/>
      <c r="H19" s="169"/>
      <c r="I19" s="286" t="e">
        <f t="shared" si="0"/>
        <v>#DIV/0!</v>
      </c>
      <c r="J19" s="171"/>
    </row>
    <row r="20" spans="1:10" s="28" customFormat="1" x14ac:dyDescent="0.2">
      <c r="A20" s="286">
        <v>10</v>
      </c>
      <c r="B20" s="167"/>
      <c r="C20" s="168"/>
      <c r="D20" s="168"/>
      <c r="E20" s="169"/>
      <c r="F20" s="170"/>
      <c r="G20" s="231"/>
      <c r="H20" s="169"/>
      <c r="I20" s="286" t="e">
        <f t="shared" si="0"/>
        <v>#DIV/0!</v>
      </c>
      <c r="J20" s="171"/>
    </row>
    <row r="21" spans="1:10" s="28" customFormat="1" x14ac:dyDescent="0.2">
      <c r="A21" s="286">
        <v>11</v>
      </c>
      <c r="B21" s="167"/>
      <c r="C21" s="168"/>
      <c r="D21" s="168"/>
      <c r="E21" s="169"/>
      <c r="F21" s="170"/>
      <c r="G21" s="231"/>
      <c r="H21" s="169"/>
      <c r="I21" s="286" t="e">
        <f t="shared" si="0"/>
        <v>#DIV/0!</v>
      </c>
      <c r="J21" s="171"/>
    </row>
    <row r="22" spans="1:10" s="28" customFormat="1" x14ac:dyDescent="0.2">
      <c r="A22" s="286">
        <v>12</v>
      </c>
      <c r="B22" s="167"/>
      <c r="C22" s="168"/>
      <c r="D22" s="168"/>
      <c r="E22" s="169"/>
      <c r="F22" s="170"/>
      <c r="G22" s="231"/>
      <c r="H22" s="169"/>
      <c r="I22" s="286" t="e">
        <f t="shared" si="0"/>
        <v>#DIV/0!</v>
      </c>
      <c r="J22" s="171"/>
    </row>
    <row r="23" spans="1:10" s="28" customFormat="1" x14ac:dyDescent="0.2">
      <c r="A23" s="286">
        <v>13</v>
      </c>
      <c r="B23" s="167"/>
      <c r="C23" s="168"/>
      <c r="D23" s="168"/>
      <c r="E23" s="169"/>
      <c r="F23" s="170"/>
      <c r="G23" s="231"/>
      <c r="H23" s="169"/>
      <c r="I23" s="286" t="e">
        <f t="shared" si="0"/>
        <v>#DIV/0!</v>
      </c>
      <c r="J23" s="171"/>
    </row>
    <row r="24" spans="1:10" s="28" customFormat="1" x14ac:dyDescent="0.2">
      <c r="A24" s="286">
        <v>14</v>
      </c>
      <c r="B24" s="167"/>
      <c r="C24" s="168"/>
      <c r="D24" s="168"/>
      <c r="E24" s="169"/>
      <c r="F24" s="170"/>
      <c r="G24" s="231"/>
      <c r="H24" s="169"/>
      <c r="I24" s="286" t="e">
        <f t="shared" si="0"/>
        <v>#DIV/0!</v>
      </c>
      <c r="J24" s="171"/>
    </row>
    <row r="25" spans="1:10" s="28" customFormat="1" x14ac:dyDescent="0.2">
      <c r="A25" s="286">
        <v>15</v>
      </c>
      <c r="B25" s="167"/>
      <c r="C25" s="168"/>
      <c r="D25" s="168"/>
      <c r="E25" s="169"/>
      <c r="F25" s="170"/>
      <c r="G25" s="231"/>
      <c r="H25" s="169"/>
      <c r="I25" s="286" t="e">
        <f t="shared" si="0"/>
        <v>#DIV/0!</v>
      </c>
      <c r="J25" s="171"/>
    </row>
    <row r="26" spans="1:10" s="28" customFormat="1" x14ac:dyDescent="0.2">
      <c r="A26" s="286">
        <v>16</v>
      </c>
      <c r="B26" s="167"/>
      <c r="C26" s="168"/>
      <c r="D26" s="168"/>
      <c r="E26" s="169"/>
      <c r="F26" s="170"/>
      <c r="G26" s="231"/>
      <c r="H26" s="169"/>
      <c r="I26" s="286" t="e">
        <f t="shared" si="0"/>
        <v>#DIV/0!</v>
      </c>
      <c r="J26" s="171"/>
    </row>
    <row r="27" spans="1:10" s="28" customFormat="1" x14ac:dyDescent="0.2">
      <c r="A27" s="286">
        <v>17</v>
      </c>
      <c r="B27" s="167"/>
      <c r="C27" s="168"/>
      <c r="D27" s="168"/>
      <c r="E27" s="169"/>
      <c r="F27" s="170"/>
      <c r="G27" s="231"/>
      <c r="H27" s="169"/>
      <c r="I27" s="286" t="e">
        <f t="shared" si="0"/>
        <v>#DIV/0!</v>
      </c>
      <c r="J27" s="171"/>
    </row>
    <row r="28" spans="1:10" s="28" customFormat="1" x14ac:dyDescent="0.2">
      <c r="A28" s="286">
        <v>18</v>
      </c>
      <c r="B28" s="167"/>
      <c r="C28" s="168"/>
      <c r="D28" s="168"/>
      <c r="E28" s="169"/>
      <c r="F28" s="170"/>
      <c r="G28" s="231"/>
      <c r="H28" s="169"/>
      <c r="I28" s="286" t="e">
        <f t="shared" si="0"/>
        <v>#DIV/0!</v>
      </c>
      <c r="J28" s="171"/>
    </row>
    <row r="29" spans="1:10" s="28" customFormat="1" x14ac:dyDescent="0.2">
      <c r="A29" s="286">
        <v>19</v>
      </c>
      <c r="B29" s="167"/>
      <c r="C29" s="168"/>
      <c r="D29" s="168"/>
      <c r="E29" s="169"/>
      <c r="F29" s="170"/>
      <c r="G29" s="231"/>
      <c r="H29" s="169"/>
      <c r="I29" s="286" t="e">
        <f t="shared" si="0"/>
        <v>#DIV/0!</v>
      </c>
      <c r="J29" s="171"/>
    </row>
    <row r="30" spans="1:10" s="28" customFormat="1" x14ac:dyDescent="0.2">
      <c r="A30" s="286">
        <v>20</v>
      </c>
      <c r="B30" s="167"/>
      <c r="C30" s="168"/>
      <c r="D30" s="168"/>
      <c r="E30" s="169"/>
      <c r="F30" s="170"/>
      <c r="G30" s="231"/>
      <c r="H30" s="169"/>
      <c r="I30" s="286" t="e">
        <f t="shared" si="0"/>
        <v>#DIV/0!</v>
      </c>
      <c r="J30" s="171"/>
    </row>
    <row r="31" spans="1:10" s="28" customFormat="1" x14ac:dyDescent="0.2">
      <c r="A31" s="286">
        <v>21</v>
      </c>
      <c r="B31" s="167"/>
      <c r="C31" s="168"/>
      <c r="D31" s="168"/>
      <c r="E31" s="169"/>
      <c r="F31" s="170"/>
      <c r="G31" s="231"/>
      <c r="H31" s="169"/>
      <c r="I31" s="286" t="e">
        <f t="shared" si="0"/>
        <v>#DIV/0!</v>
      </c>
      <c r="J31" s="171"/>
    </row>
    <row r="32" spans="1:10" s="28" customFormat="1" x14ac:dyDescent="0.2">
      <c r="A32" s="286">
        <v>22</v>
      </c>
      <c r="B32" s="167"/>
      <c r="C32" s="168"/>
      <c r="D32" s="168"/>
      <c r="E32" s="169"/>
      <c r="F32" s="170"/>
      <c r="G32" s="231"/>
      <c r="H32" s="169"/>
      <c r="I32" s="286" t="e">
        <f t="shared" si="0"/>
        <v>#DIV/0!</v>
      </c>
      <c r="J32" s="171"/>
    </row>
    <row r="33" spans="1:10" s="28" customFormat="1" x14ac:dyDescent="0.2">
      <c r="A33" s="286">
        <v>23</v>
      </c>
      <c r="B33" s="167"/>
      <c r="C33" s="168"/>
      <c r="D33" s="168"/>
      <c r="E33" s="169"/>
      <c r="F33" s="170"/>
      <c r="G33" s="231"/>
      <c r="H33" s="169"/>
      <c r="I33" s="286" t="e">
        <f t="shared" si="0"/>
        <v>#DIV/0!</v>
      </c>
      <c r="J33" s="171"/>
    </row>
    <row r="34" spans="1:10" s="28" customFormat="1" x14ac:dyDescent="0.2">
      <c r="A34" s="286">
        <v>24</v>
      </c>
      <c r="B34" s="167"/>
      <c r="C34" s="168"/>
      <c r="D34" s="168"/>
      <c r="E34" s="169"/>
      <c r="F34" s="170"/>
      <c r="G34" s="231"/>
      <c r="H34" s="169"/>
      <c r="I34" s="286" t="e">
        <f t="shared" si="0"/>
        <v>#DIV/0!</v>
      </c>
      <c r="J34" s="171"/>
    </row>
    <row r="35" spans="1:10" s="28" customFormat="1" x14ac:dyDescent="0.2">
      <c r="A35" s="286">
        <v>25</v>
      </c>
      <c r="B35" s="167"/>
      <c r="C35" s="168"/>
      <c r="D35" s="168"/>
      <c r="E35" s="169"/>
      <c r="F35" s="170"/>
      <c r="G35" s="231"/>
      <c r="H35" s="169"/>
      <c r="I35" s="286" t="e">
        <f t="shared" si="0"/>
        <v>#DIV/0!</v>
      </c>
      <c r="J35" s="171"/>
    </row>
    <row r="36" spans="1:10" s="28" customFormat="1" x14ac:dyDescent="0.2">
      <c r="A36" s="286">
        <v>26</v>
      </c>
      <c r="B36" s="167"/>
      <c r="C36" s="168"/>
      <c r="D36" s="168"/>
      <c r="E36" s="169"/>
      <c r="F36" s="170"/>
      <c r="G36" s="231"/>
      <c r="H36" s="169"/>
      <c r="I36" s="286" t="e">
        <f t="shared" si="0"/>
        <v>#DIV/0!</v>
      </c>
      <c r="J36" s="171"/>
    </row>
    <row r="37" spans="1:10" s="28" customFormat="1" x14ac:dyDescent="0.2">
      <c r="A37" s="286">
        <v>27</v>
      </c>
      <c r="B37" s="167"/>
      <c r="C37" s="168"/>
      <c r="D37" s="168"/>
      <c r="E37" s="169"/>
      <c r="F37" s="170"/>
      <c r="G37" s="231"/>
      <c r="H37" s="169"/>
      <c r="I37" s="286" t="e">
        <f t="shared" si="0"/>
        <v>#DIV/0!</v>
      </c>
      <c r="J37" s="171"/>
    </row>
    <row r="38" spans="1:10" s="28" customFormat="1" x14ac:dyDescent="0.2">
      <c r="A38" s="286">
        <v>28</v>
      </c>
      <c r="B38" s="167"/>
      <c r="C38" s="168"/>
      <c r="D38" s="168"/>
      <c r="E38" s="169"/>
      <c r="F38" s="170"/>
      <c r="G38" s="231"/>
      <c r="H38" s="169"/>
      <c r="I38" s="286" t="e">
        <f t="shared" si="0"/>
        <v>#DIV/0!</v>
      </c>
      <c r="J38" s="171"/>
    </row>
    <row r="39" spans="1:10" s="28" customFormat="1" ht="12.75" customHeight="1" x14ac:dyDescent="0.2">
      <c r="A39" s="286">
        <v>29</v>
      </c>
      <c r="B39" s="167"/>
      <c r="C39" s="168"/>
      <c r="D39" s="168"/>
      <c r="E39" s="169"/>
      <c r="F39" s="170"/>
      <c r="G39" s="231"/>
      <c r="H39" s="169"/>
      <c r="I39" s="286" t="e">
        <f t="shared" si="0"/>
        <v>#DIV/0!</v>
      </c>
      <c r="J39" s="171"/>
    </row>
    <row r="40" spans="1:10" s="28" customFormat="1" x14ac:dyDescent="0.2">
      <c r="A40" s="286">
        <v>30</v>
      </c>
      <c r="B40" s="167"/>
      <c r="C40" s="168"/>
      <c r="D40" s="168"/>
      <c r="E40" s="169"/>
      <c r="F40" s="170"/>
      <c r="G40" s="231"/>
      <c r="H40" s="169"/>
      <c r="I40" s="286" t="e">
        <f>H40/$I$5</f>
        <v>#DIV/0!</v>
      </c>
      <c r="J40" s="171"/>
    </row>
    <row r="41" spans="1:10" s="28" customFormat="1" x14ac:dyDescent="0.2">
      <c r="A41" s="140"/>
      <c r="B41" s="46" t="str">
        <f>IF(L!$B$536=2,L!B562,L!C562)</f>
        <v>Итого:</v>
      </c>
      <c r="C41" s="46" t="s">
        <v>611</v>
      </c>
      <c r="D41" s="46" t="s">
        <v>611</v>
      </c>
      <c r="E41" s="46" t="s">
        <v>611</v>
      </c>
      <c r="F41" s="46" t="s">
        <v>611</v>
      </c>
      <c r="G41" s="46" t="s">
        <v>611</v>
      </c>
      <c r="H41" s="151">
        <f>SUM(H11:H40)</f>
        <v>0</v>
      </c>
      <c r="I41" s="151" t="e">
        <f>SUM(I11:I40)</f>
        <v>#DIV/0!</v>
      </c>
      <c r="J41" s="153" t="s">
        <v>611</v>
      </c>
    </row>
    <row r="42" spans="1:10" s="28" customFormat="1" x14ac:dyDescent="0.2">
      <c r="A42" s="160"/>
      <c r="B42" s="156"/>
      <c r="C42" s="156"/>
      <c r="D42" s="156"/>
      <c r="E42" s="157"/>
      <c r="F42" s="156"/>
      <c r="G42" s="156"/>
      <c r="H42" s="158"/>
      <c r="I42" s="158"/>
      <c r="J42" s="161"/>
    </row>
    <row r="43" spans="1:10" s="28" customFormat="1" ht="41.25" customHeight="1" x14ac:dyDescent="0.2">
      <c r="A43" s="921" t="str">
        <f>IF(L!$B$536=2,L!B564,L!C564)</f>
        <v>ТАБЛИЦА 2. Поручительства и гарантии, выданные организацией: Внесите в список все поручительства и гарантии организации, выданные третьим лицам, должностным лицам организации. В случае необходимости, приложите дополнительный лист.</v>
      </c>
      <c r="B43" s="922"/>
      <c r="C43" s="922"/>
      <c r="D43" s="922"/>
      <c r="E43" s="922"/>
      <c r="F43" s="922"/>
      <c r="G43" s="922"/>
      <c r="H43" s="922"/>
      <c r="I43" s="922"/>
      <c r="J43" s="923"/>
    </row>
    <row r="44" spans="1:10" s="28" customFormat="1" ht="24" customHeight="1" x14ac:dyDescent="0.2">
      <c r="A44" s="924" t="s">
        <v>17</v>
      </c>
      <c r="B44" s="926" t="str">
        <f>IF(L!$B$536=2,L!B565,L!C565)</f>
        <v>Получатель гарантии/поручительства</v>
      </c>
      <c r="C44" s="926" t="str">
        <f>IF(L!$B$536=2,L!B566,L!C566)</f>
        <v xml:space="preserve">Дата выдачи </v>
      </c>
      <c r="D44" s="926" t="str">
        <f>IF(L!$B$536=2,L!B567,L!C567)</f>
        <v xml:space="preserve">Дата полного погашения </v>
      </c>
      <c r="E44" s="926" t="str">
        <f>IF(L!$B$536=2,L!B568,L!C568)</f>
        <v>Сумма гарантии/поручительства</v>
      </c>
      <c r="F44" s="926" t="str">
        <f>IF(L!$B$536=2,L!B569,L!C569)</f>
        <v>Валюта</v>
      </c>
      <c r="G44" s="926" t="str">
        <f>IF(L!$B$536=2,L!B570,L!C570)</f>
        <v>Процентная ставка</v>
      </c>
      <c r="H44" s="926" t="str">
        <f>IF(L!$B$536=2,L!B571,L!C571)</f>
        <v>Текущий баланс/остаток долга</v>
      </c>
      <c r="I44" s="926"/>
      <c r="J44" s="925" t="str">
        <f>IF(L!$B$536=2,L!B574,L!C574)</f>
        <v>Залог</v>
      </c>
    </row>
    <row r="45" spans="1:10" s="28" customFormat="1" ht="31.5" customHeight="1" x14ac:dyDescent="0.2">
      <c r="A45" s="924"/>
      <c r="B45" s="926"/>
      <c r="C45" s="926"/>
      <c r="D45" s="926"/>
      <c r="E45" s="926"/>
      <c r="F45" s="926"/>
      <c r="G45" s="926"/>
      <c r="H45" s="46" t="str">
        <f>IF(L!$B$536=2,L!B572,L!C572)</f>
        <v>В национальной валюте</v>
      </c>
      <c r="I45" s="46" t="str">
        <f>IF(L!$B$536=2,L!B573,L!C573)</f>
        <v>В долларах США</v>
      </c>
      <c r="J45" s="925"/>
    </row>
    <row r="46" spans="1:10" s="28" customFormat="1" x14ac:dyDescent="0.2">
      <c r="A46" s="155">
        <v>1</v>
      </c>
      <c r="B46" s="167"/>
      <c r="C46" s="199"/>
      <c r="D46" s="199"/>
      <c r="E46" s="169"/>
      <c r="F46" s="170"/>
      <c r="G46" s="231"/>
      <c r="H46" s="169"/>
      <c r="I46" s="172" t="e">
        <f>H46/$I$5</f>
        <v>#DIV/0!</v>
      </c>
      <c r="J46" s="171"/>
    </row>
    <row r="47" spans="1:10" s="28" customFormat="1" x14ac:dyDescent="0.2">
      <c r="A47" s="155">
        <v>2</v>
      </c>
      <c r="B47" s="167"/>
      <c r="C47" s="199"/>
      <c r="D47" s="199"/>
      <c r="E47" s="169"/>
      <c r="F47" s="170"/>
      <c r="G47" s="231"/>
      <c r="H47" s="169"/>
      <c r="I47" s="172" t="e">
        <f>H47/$I$5</f>
        <v>#DIV/0!</v>
      </c>
      <c r="J47" s="171"/>
    </row>
    <row r="48" spans="1:10" s="28" customFormat="1" x14ac:dyDescent="0.2">
      <c r="A48" s="155">
        <v>3</v>
      </c>
      <c r="B48" s="167"/>
      <c r="C48" s="199"/>
      <c r="D48" s="199"/>
      <c r="E48" s="169"/>
      <c r="F48" s="170"/>
      <c r="G48" s="231"/>
      <c r="H48" s="169"/>
      <c r="I48" s="172" t="e">
        <f>H48/$I$5</f>
        <v>#DIV/0!</v>
      </c>
      <c r="J48" s="171"/>
    </row>
    <row r="49" spans="1:10" s="28" customFormat="1" x14ac:dyDescent="0.2">
      <c r="A49" s="155">
        <v>4</v>
      </c>
      <c r="B49" s="167"/>
      <c r="C49" s="199"/>
      <c r="D49" s="199"/>
      <c r="E49" s="169"/>
      <c r="F49" s="170"/>
      <c r="G49" s="231"/>
      <c r="H49" s="169"/>
      <c r="I49" s="172" t="e">
        <f>H49/$I$5</f>
        <v>#DIV/0!</v>
      </c>
      <c r="J49" s="171"/>
    </row>
    <row r="50" spans="1:10" s="28" customFormat="1" x14ac:dyDescent="0.2">
      <c r="A50" s="155">
        <v>5</v>
      </c>
      <c r="B50" s="167"/>
      <c r="C50" s="199"/>
      <c r="D50" s="199"/>
      <c r="E50" s="169"/>
      <c r="F50" s="170"/>
      <c r="G50" s="231"/>
      <c r="H50" s="169"/>
      <c r="I50" s="172" t="e">
        <f>H50/$I$5</f>
        <v>#DIV/0!</v>
      </c>
      <c r="J50" s="171"/>
    </row>
    <row r="51" spans="1:10" s="28" customFormat="1" x14ac:dyDescent="0.2">
      <c r="A51" s="140"/>
      <c r="B51" s="46" t="str">
        <f>IF(L!$B$536=2,L!B575,L!C575)</f>
        <v>Итого:</v>
      </c>
      <c r="C51" s="46" t="s">
        <v>611</v>
      </c>
      <c r="D51" s="46" t="s">
        <v>611</v>
      </c>
      <c r="E51" s="150">
        <f>SUM(E46:E50)</f>
        <v>0</v>
      </c>
      <c r="F51" s="46" t="s">
        <v>611</v>
      </c>
      <c r="G51" s="46" t="s">
        <v>611</v>
      </c>
      <c r="H51" s="150">
        <f>SUM(H46:H50)</f>
        <v>0</v>
      </c>
      <c r="I51" s="150" t="e">
        <f>SUM(I46:I50)</f>
        <v>#DIV/0!</v>
      </c>
      <c r="J51" s="153" t="s">
        <v>611</v>
      </c>
    </row>
    <row r="52" spans="1:10" s="28" customFormat="1" x14ac:dyDescent="0.2">
      <c r="A52" s="160"/>
      <c r="B52" s="156"/>
      <c r="C52" s="156"/>
      <c r="D52" s="156"/>
      <c r="E52" s="159"/>
      <c r="F52" s="156"/>
      <c r="G52" s="156"/>
      <c r="H52" s="156"/>
      <c r="I52" s="156"/>
      <c r="J52" s="161"/>
    </row>
    <row r="53" spans="1:10" s="28" customFormat="1" ht="35.25" customHeight="1" x14ac:dyDescent="0.2">
      <c r="A53" s="939" t="str">
        <f>IF(L!$B$536=2,L!B577,L!C577)</f>
        <v>ТАБЛИЦА 3. ДЕПОЗИТЫ ПОЛУЧЕННЫЕ ОТ ФИЗИЧЕСКИХ И/ИЛИ ЮРИДИЧЕСКИХ ЛИЦ. В случае необходимости, приложите дополнительный лист.</v>
      </c>
      <c r="B53" s="940"/>
      <c r="C53" s="940"/>
      <c r="D53" s="940"/>
      <c r="E53" s="940"/>
      <c r="F53" s="940"/>
      <c r="G53" s="940"/>
      <c r="H53" s="940"/>
      <c r="I53" s="940"/>
      <c r="J53" s="941"/>
    </row>
    <row r="54" spans="1:10" s="28" customFormat="1" ht="24" customHeight="1" x14ac:dyDescent="0.2">
      <c r="A54" s="924" t="s">
        <v>17</v>
      </c>
      <c r="B54" s="926" t="str">
        <f>IF(L!$B$536=2,L!B578,L!C578)</f>
        <v>Наименование вкладчика</v>
      </c>
      <c r="C54" s="926" t="str">
        <f>IF(L!$B$536=2,L!B579,L!C579)</f>
        <v>Дата вложения депозита</v>
      </c>
      <c r="D54" s="926" t="str">
        <f>IF(L!$B$536=2,L!B580,L!C580)</f>
        <v xml:space="preserve">Дата полного погашения </v>
      </c>
      <c r="E54" s="926" t="str">
        <f>IF(L!$B$536=2,L!B581,L!C581)</f>
        <v>Сумма депозита</v>
      </c>
      <c r="F54" s="926" t="str">
        <f>IF(L!$B$536=2,L!B582,L!C582)</f>
        <v>Валюта</v>
      </c>
      <c r="G54" s="926" t="str">
        <f>IF(L!$B$536=2,L!B583,L!C583)</f>
        <v>Процентная ставка</v>
      </c>
      <c r="H54" s="926" t="str">
        <f>IF(L!$B$536=2,L!B584,L!C584)</f>
        <v>Текущий баланс/остаток долга</v>
      </c>
      <c r="I54" s="926"/>
      <c r="J54" s="925" t="str">
        <f>IF(L!$B$536=2,L!B587,L!C587)</f>
        <v>Примечание</v>
      </c>
    </row>
    <row r="55" spans="1:10" s="28" customFormat="1" ht="33.75" x14ac:dyDescent="0.2">
      <c r="A55" s="924"/>
      <c r="B55" s="926"/>
      <c r="C55" s="926"/>
      <c r="D55" s="926"/>
      <c r="E55" s="926"/>
      <c r="F55" s="926"/>
      <c r="G55" s="926"/>
      <c r="H55" s="46" t="str">
        <f>IF(L!$B$536=2,L!B585,L!C585)</f>
        <v>В национальной валюте</v>
      </c>
      <c r="I55" s="46" t="str">
        <f>IF(L!$B$536=2,L!B586,L!C586)</f>
        <v>В долларах США</v>
      </c>
      <c r="J55" s="925"/>
    </row>
    <row r="56" spans="1:10" s="28" customFormat="1" x14ac:dyDescent="0.2">
      <c r="A56" s="155">
        <v>1</v>
      </c>
      <c r="B56" s="167"/>
      <c r="C56" s="199"/>
      <c r="D56" s="199"/>
      <c r="E56" s="169"/>
      <c r="F56" s="170"/>
      <c r="G56" s="231"/>
      <c r="H56" s="169"/>
      <c r="I56" s="149" t="e">
        <f>H56/$I$5</f>
        <v>#DIV/0!</v>
      </c>
      <c r="J56" s="171"/>
    </row>
    <row r="57" spans="1:10" s="28" customFormat="1" x14ac:dyDescent="0.2">
      <c r="A57" s="155">
        <v>2</v>
      </c>
      <c r="B57" s="167"/>
      <c r="C57" s="199"/>
      <c r="D57" s="199"/>
      <c r="E57" s="169"/>
      <c r="F57" s="170"/>
      <c r="G57" s="231"/>
      <c r="H57" s="169"/>
      <c r="I57" s="149" t="e">
        <f t="shared" ref="I57:I105" si="1">H57/$I$5</f>
        <v>#DIV/0!</v>
      </c>
      <c r="J57" s="171"/>
    </row>
    <row r="58" spans="1:10" s="28" customFormat="1" x14ac:dyDescent="0.2">
      <c r="A58" s="155">
        <v>3</v>
      </c>
      <c r="B58" s="167"/>
      <c r="C58" s="199"/>
      <c r="D58" s="199"/>
      <c r="E58" s="169"/>
      <c r="F58" s="170"/>
      <c r="G58" s="231"/>
      <c r="H58" s="169"/>
      <c r="I58" s="149" t="e">
        <f t="shared" si="1"/>
        <v>#DIV/0!</v>
      </c>
      <c r="J58" s="171"/>
    </row>
    <row r="59" spans="1:10" s="28" customFormat="1" x14ac:dyDescent="0.2">
      <c r="A59" s="155">
        <v>4</v>
      </c>
      <c r="B59" s="167"/>
      <c r="C59" s="199"/>
      <c r="D59" s="199"/>
      <c r="E59" s="169"/>
      <c r="F59" s="170"/>
      <c r="G59" s="231"/>
      <c r="H59" s="169"/>
      <c r="I59" s="149" t="e">
        <f t="shared" si="1"/>
        <v>#DIV/0!</v>
      </c>
      <c r="J59" s="171"/>
    </row>
    <row r="60" spans="1:10" s="28" customFormat="1" x14ac:dyDescent="0.2">
      <c r="A60" s="155">
        <v>5</v>
      </c>
      <c r="B60" s="167"/>
      <c r="C60" s="199"/>
      <c r="D60" s="199"/>
      <c r="E60" s="169"/>
      <c r="F60" s="170"/>
      <c r="G60" s="231"/>
      <c r="H60" s="169"/>
      <c r="I60" s="149" t="e">
        <f t="shared" si="1"/>
        <v>#DIV/0!</v>
      </c>
      <c r="J60" s="171"/>
    </row>
    <row r="61" spans="1:10" s="28" customFormat="1" x14ac:dyDescent="0.2">
      <c r="A61" s="155">
        <v>6</v>
      </c>
      <c r="B61" s="167"/>
      <c r="C61" s="199"/>
      <c r="D61" s="199"/>
      <c r="E61" s="169"/>
      <c r="F61" s="170"/>
      <c r="G61" s="231"/>
      <c r="H61" s="169"/>
      <c r="I61" s="149" t="e">
        <f t="shared" si="1"/>
        <v>#DIV/0!</v>
      </c>
      <c r="J61" s="171"/>
    </row>
    <row r="62" spans="1:10" s="28" customFormat="1" x14ac:dyDescent="0.2">
      <c r="A62" s="155">
        <v>7</v>
      </c>
      <c r="B62" s="167"/>
      <c r="C62" s="199"/>
      <c r="D62" s="199"/>
      <c r="E62" s="169"/>
      <c r="F62" s="170"/>
      <c r="G62" s="231"/>
      <c r="H62" s="169"/>
      <c r="I62" s="149" t="e">
        <f t="shared" si="1"/>
        <v>#DIV/0!</v>
      </c>
      <c r="J62" s="171"/>
    </row>
    <row r="63" spans="1:10" s="28" customFormat="1" x14ac:dyDescent="0.2">
      <c r="A63" s="155">
        <v>8</v>
      </c>
      <c r="B63" s="167"/>
      <c r="C63" s="199"/>
      <c r="D63" s="199"/>
      <c r="E63" s="169"/>
      <c r="F63" s="170"/>
      <c r="G63" s="231"/>
      <c r="H63" s="169"/>
      <c r="I63" s="149" t="e">
        <f t="shared" si="1"/>
        <v>#DIV/0!</v>
      </c>
      <c r="J63" s="171"/>
    </row>
    <row r="64" spans="1:10" s="28" customFormat="1" x14ac:dyDescent="0.2">
      <c r="A64" s="155">
        <v>9</v>
      </c>
      <c r="B64" s="167"/>
      <c r="C64" s="199"/>
      <c r="D64" s="199"/>
      <c r="E64" s="169"/>
      <c r="F64" s="170"/>
      <c r="G64" s="231"/>
      <c r="H64" s="169"/>
      <c r="I64" s="149" t="e">
        <f t="shared" si="1"/>
        <v>#DIV/0!</v>
      </c>
      <c r="J64" s="171"/>
    </row>
    <row r="65" spans="1:10" s="28" customFormat="1" x14ac:dyDescent="0.2">
      <c r="A65" s="155">
        <v>10</v>
      </c>
      <c r="B65" s="167"/>
      <c r="C65" s="199"/>
      <c r="D65" s="199"/>
      <c r="E65" s="169"/>
      <c r="F65" s="170"/>
      <c r="G65" s="231"/>
      <c r="H65" s="169"/>
      <c r="I65" s="149" t="e">
        <f t="shared" si="1"/>
        <v>#DIV/0!</v>
      </c>
      <c r="J65" s="171"/>
    </row>
    <row r="66" spans="1:10" s="28" customFormat="1" x14ac:dyDescent="0.2">
      <c r="A66" s="155">
        <v>11</v>
      </c>
      <c r="B66" s="167"/>
      <c r="C66" s="199"/>
      <c r="D66" s="199"/>
      <c r="E66" s="169"/>
      <c r="F66" s="170"/>
      <c r="G66" s="231"/>
      <c r="H66" s="169"/>
      <c r="I66" s="149" t="e">
        <f t="shared" si="1"/>
        <v>#DIV/0!</v>
      </c>
      <c r="J66" s="171"/>
    </row>
    <row r="67" spans="1:10" s="28" customFormat="1" x14ac:dyDescent="0.2">
      <c r="A67" s="155">
        <v>12</v>
      </c>
      <c r="B67" s="167"/>
      <c r="C67" s="199"/>
      <c r="D67" s="199"/>
      <c r="E67" s="169"/>
      <c r="F67" s="170"/>
      <c r="G67" s="231"/>
      <c r="H67" s="169"/>
      <c r="I67" s="149" t="e">
        <f t="shared" si="1"/>
        <v>#DIV/0!</v>
      </c>
      <c r="J67" s="171"/>
    </row>
    <row r="68" spans="1:10" s="28" customFormat="1" x14ac:dyDescent="0.2">
      <c r="A68" s="155">
        <v>13</v>
      </c>
      <c r="B68" s="167"/>
      <c r="C68" s="199"/>
      <c r="D68" s="199"/>
      <c r="E68" s="169"/>
      <c r="F68" s="170"/>
      <c r="G68" s="231"/>
      <c r="H68" s="169"/>
      <c r="I68" s="149" t="e">
        <f t="shared" si="1"/>
        <v>#DIV/0!</v>
      </c>
      <c r="J68" s="171"/>
    </row>
    <row r="69" spans="1:10" s="28" customFormat="1" x14ac:dyDescent="0.2">
      <c r="A69" s="155">
        <v>14</v>
      </c>
      <c r="B69" s="167"/>
      <c r="C69" s="199"/>
      <c r="D69" s="199"/>
      <c r="E69" s="169"/>
      <c r="F69" s="170"/>
      <c r="G69" s="231"/>
      <c r="H69" s="169"/>
      <c r="I69" s="149" t="e">
        <f t="shared" si="1"/>
        <v>#DIV/0!</v>
      </c>
      <c r="J69" s="171"/>
    </row>
    <row r="70" spans="1:10" s="28" customFormat="1" x14ac:dyDescent="0.2">
      <c r="A70" s="155">
        <v>15</v>
      </c>
      <c r="B70" s="167"/>
      <c r="C70" s="199"/>
      <c r="D70" s="199"/>
      <c r="E70" s="169"/>
      <c r="F70" s="170"/>
      <c r="G70" s="231"/>
      <c r="H70" s="169"/>
      <c r="I70" s="149" t="e">
        <f t="shared" si="1"/>
        <v>#DIV/0!</v>
      </c>
      <c r="J70" s="171"/>
    </row>
    <row r="71" spans="1:10" s="28" customFormat="1" x14ac:dyDescent="0.2">
      <c r="A71" s="155">
        <v>16</v>
      </c>
      <c r="B71" s="167"/>
      <c r="C71" s="199"/>
      <c r="D71" s="199"/>
      <c r="E71" s="169"/>
      <c r="F71" s="170"/>
      <c r="G71" s="231"/>
      <c r="H71" s="169"/>
      <c r="I71" s="149" t="e">
        <f t="shared" si="1"/>
        <v>#DIV/0!</v>
      </c>
      <c r="J71" s="171"/>
    </row>
    <row r="72" spans="1:10" s="28" customFormat="1" x14ac:dyDescent="0.2">
      <c r="A72" s="155">
        <v>17</v>
      </c>
      <c r="B72" s="167"/>
      <c r="C72" s="199"/>
      <c r="D72" s="199"/>
      <c r="E72" s="169"/>
      <c r="F72" s="170"/>
      <c r="G72" s="231"/>
      <c r="H72" s="169"/>
      <c r="I72" s="149" t="e">
        <f t="shared" si="1"/>
        <v>#DIV/0!</v>
      </c>
      <c r="J72" s="171"/>
    </row>
    <row r="73" spans="1:10" s="28" customFormat="1" x14ac:dyDescent="0.2">
      <c r="A73" s="155">
        <v>18</v>
      </c>
      <c r="B73" s="167"/>
      <c r="C73" s="199"/>
      <c r="D73" s="199"/>
      <c r="E73" s="169"/>
      <c r="F73" s="170"/>
      <c r="G73" s="231"/>
      <c r="H73" s="169"/>
      <c r="I73" s="149" t="e">
        <f t="shared" si="1"/>
        <v>#DIV/0!</v>
      </c>
      <c r="J73" s="171"/>
    </row>
    <row r="74" spans="1:10" s="28" customFormat="1" x14ac:dyDescent="0.2">
      <c r="A74" s="155">
        <v>19</v>
      </c>
      <c r="B74" s="167"/>
      <c r="C74" s="199"/>
      <c r="D74" s="199"/>
      <c r="E74" s="169"/>
      <c r="F74" s="170"/>
      <c r="G74" s="231"/>
      <c r="H74" s="169"/>
      <c r="I74" s="149" t="e">
        <f t="shared" si="1"/>
        <v>#DIV/0!</v>
      </c>
      <c r="J74" s="171"/>
    </row>
    <row r="75" spans="1:10" s="28" customFormat="1" x14ac:dyDescent="0.2">
      <c r="A75" s="155">
        <v>20</v>
      </c>
      <c r="B75" s="167"/>
      <c r="C75" s="199"/>
      <c r="D75" s="199"/>
      <c r="E75" s="169"/>
      <c r="F75" s="170"/>
      <c r="G75" s="231"/>
      <c r="H75" s="169"/>
      <c r="I75" s="149" t="e">
        <f t="shared" si="1"/>
        <v>#DIV/0!</v>
      </c>
      <c r="J75" s="171"/>
    </row>
    <row r="76" spans="1:10" s="28" customFormat="1" x14ac:dyDescent="0.2">
      <c r="A76" s="155">
        <v>21</v>
      </c>
      <c r="B76" s="167"/>
      <c r="C76" s="199"/>
      <c r="D76" s="199"/>
      <c r="E76" s="169"/>
      <c r="F76" s="170"/>
      <c r="G76" s="231"/>
      <c r="H76" s="169"/>
      <c r="I76" s="149" t="e">
        <f t="shared" si="1"/>
        <v>#DIV/0!</v>
      </c>
      <c r="J76" s="171"/>
    </row>
    <row r="77" spans="1:10" s="28" customFormat="1" x14ac:dyDescent="0.2">
      <c r="A77" s="155">
        <v>22</v>
      </c>
      <c r="B77" s="167"/>
      <c r="C77" s="199"/>
      <c r="D77" s="199"/>
      <c r="E77" s="169"/>
      <c r="F77" s="170"/>
      <c r="G77" s="231"/>
      <c r="H77" s="169"/>
      <c r="I77" s="149" t="e">
        <f t="shared" si="1"/>
        <v>#DIV/0!</v>
      </c>
      <c r="J77" s="171"/>
    </row>
    <row r="78" spans="1:10" s="28" customFormat="1" x14ac:dyDescent="0.2">
      <c r="A78" s="155">
        <v>23</v>
      </c>
      <c r="B78" s="167"/>
      <c r="C78" s="199"/>
      <c r="D78" s="199"/>
      <c r="E78" s="169"/>
      <c r="F78" s="170"/>
      <c r="G78" s="231"/>
      <c r="H78" s="169"/>
      <c r="I78" s="149" t="e">
        <f t="shared" si="1"/>
        <v>#DIV/0!</v>
      </c>
      <c r="J78" s="171"/>
    </row>
    <row r="79" spans="1:10" s="28" customFormat="1" x14ac:dyDescent="0.2">
      <c r="A79" s="155">
        <v>24</v>
      </c>
      <c r="B79" s="167"/>
      <c r="C79" s="199"/>
      <c r="D79" s="199"/>
      <c r="E79" s="169"/>
      <c r="F79" s="170"/>
      <c r="G79" s="231"/>
      <c r="H79" s="169"/>
      <c r="I79" s="149" t="e">
        <f t="shared" si="1"/>
        <v>#DIV/0!</v>
      </c>
      <c r="J79" s="171"/>
    </row>
    <row r="80" spans="1:10" s="28" customFormat="1" x14ac:dyDescent="0.2">
      <c r="A80" s="155">
        <v>25</v>
      </c>
      <c r="B80" s="167"/>
      <c r="C80" s="199"/>
      <c r="D80" s="199"/>
      <c r="E80" s="169"/>
      <c r="F80" s="170"/>
      <c r="G80" s="231"/>
      <c r="H80" s="169"/>
      <c r="I80" s="149" t="e">
        <f t="shared" si="1"/>
        <v>#DIV/0!</v>
      </c>
      <c r="J80" s="171"/>
    </row>
    <row r="81" spans="1:10" s="28" customFormat="1" x14ac:dyDescent="0.2">
      <c r="A81" s="155">
        <v>26</v>
      </c>
      <c r="B81" s="167"/>
      <c r="C81" s="199"/>
      <c r="D81" s="199"/>
      <c r="E81" s="169"/>
      <c r="F81" s="170"/>
      <c r="G81" s="231"/>
      <c r="H81" s="169"/>
      <c r="I81" s="149" t="e">
        <f t="shared" si="1"/>
        <v>#DIV/0!</v>
      </c>
      <c r="J81" s="171"/>
    </row>
    <row r="82" spans="1:10" s="28" customFormat="1" x14ac:dyDescent="0.2">
      <c r="A82" s="155">
        <v>27</v>
      </c>
      <c r="B82" s="167"/>
      <c r="C82" s="199"/>
      <c r="D82" s="199"/>
      <c r="E82" s="169"/>
      <c r="F82" s="170"/>
      <c r="G82" s="231"/>
      <c r="H82" s="169"/>
      <c r="I82" s="149" t="e">
        <f t="shared" si="1"/>
        <v>#DIV/0!</v>
      </c>
      <c r="J82" s="171"/>
    </row>
    <row r="83" spans="1:10" s="28" customFormat="1" x14ac:dyDescent="0.2">
      <c r="A83" s="155">
        <v>28</v>
      </c>
      <c r="B83" s="167"/>
      <c r="C83" s="199"/>
      <c r="D83" s="199"/>
      <c r="E83" s="169"/>
      <c r="F83" s="170"/>
      <c r="G83" s="231"/>
      <c r="H83" s="169"/>
      <c r="I83" s="149" t="e">
        <f t="shared" si="1"/>
        <v>#DIV/0!</v>
      </c>
      <c r="J83" s="171"/>
    </row>
    <row r="84" spans="1:10" s="28" customFormat="1" x14ac:dyDescent="0.2">
      <c r="A84" s="155">
        <v>29</v>
      </c>
      <c r="B84" s="167"/>
      <c r="C84" s="199"/>
      <c r="D84" s="199"/>
      <c r="E84" s="169"/>
      <c r="F84" s="170"/>
      <c r="G84" s="231"/>
      <c r="H84" s="169"/>
      <c r="I84" s="149" t="e">
        <f t="shared" si="1"/>
        <v>#DIV/0!</v>
      </c>
      <c r="J84" s="171"/>
    </row>
    <row r="85" spans="1:10" s="28" customFormat="1" x14ac:dyDescent="0.2">
      <c r="A85" s="155">
        <v>30</v>
      </c>
      <c r="B85" s="167"/>
      <c r="C85" s="199"/>
      <c r="D85" s="199"/>
      <c r="E85" s="169"/>
      <c r="F85" s="170"/>
      <c r="G85" s="231"/>
      <c r="H85" s="169"/>
      <c r="I85" s="149" t="e">
        <f t="shared" si="1"/>
        <v>#DIV/0!</v>
      </c>
      <c r="J85" s="171"/>
    </row>
    <row r="86" spans="1:10" s="28" customFormat="1" x14ac:dyDescent="0.2">
      <c r="A86" s="155">
        <v>31</v>
      </c>
      <c r="B86" s="167"/>
      <c r="C86" s="199"/>
      <c r="D86" s="199"/>
      <c r="E86" s="169"/>
      <c r="F86" s="170"/>
      <c r="G86" s="231"/>
      <c r="H86" s="169"/>
      <c r="I86" s="149" t="e">
        <f t="shared" si="1"/>
        <v>#DIV/0!</v>
      </c>
      <c r="J86" s="171"/>
    </row>
    <row r="87" spans="1:10" s="28" customFormat="1" x14ac:dyDescent="0.2">
      <c r="A87" s="155">
        <v>32</v>
      </c>
      <c r="B87" s="167"/>
      <c r="C87" s="199"/>
      <c r="D87" s="199"/>
      <c r="E87" s="169"/>
      <c r="F87" s="170"/>
      <c r="G87" s="231"/>
      <c r="H87" s="169"/>
      <c r="I87" s="149" t="e">
        <f t="shared" si="1"/>
        <v>#DIV/0!</v>
      </c>
      <c r="J87" s="171"/>
    </row>
    <row r="88" spans="1:10" s="28" customFormat="1" x14ac:dyDescent="0.2">
      <c r="A88" s="155">
        <v>33</v>
      </c>
      <c r="B88" s="167"/>
      <c r="C88" s="199"/>
      <c r="D88" s="199"/>
      <c r="E88" s="169"/>
      <c r="F88" s="170"/>
      <c r="G88" s="231"/>
      <c r="H88" s="169"/>
      <c r="I88" s="149" t="e">
        <f t="shared" si="1"/>
        <v>#DIV/0!</v>
      </c>
      <c r="J88" s="171"/>
    </row>
    <row r="89" spans="1:10" s="28" customFormat="1" x14ac:dyDescent="0.2">
      <c r="A89" s="155">
        <v>34</v>
      </c>
      <c r="B89" s="167"/>
      <c r="C89" s="199"/>
      <c r="D89" s="199"/>
      <c r="E89" s="169"/>
      <c r="F89" s="170"/>
      <c r="G89" s="231"/>
      <c r="H89" s="169"/>
      <c r="I89" s="149" t="e">
        <f t="shared" si="1"/>
        <v>#DIV/0!</v>
      </c>
      <c r="J89" s="171"/>
    </row>
    <row r="90" spans="1:10" s="28" customFormat="1" x14ac:dyDescent="0.2">
      <c r="A90" s="155">
        <v>35</v>
      </c>
      <c r="B90" s="167"/>
      <c r="C90" s="199"/>
      <c r="D90" s="199"/>
      <c r="E90" s="169"/>
      <c r="F90" s="170"/>
      <c r="G90" s="231"/>
      <c r="H90" s="169"/>
      <c r="I90" s="149" t="e">
        <f t="shared" si="1"/>
        <v>#DIV/0!</v>
      </c>
      <c r="J90" s="171"/>
    </row>
    <row r="91" spans="1:10" s="28" customFormat="1" x14ac:dyDescent="0.2">
      <c r="A91" s="155">
        <v>36</v>
      </c>
      <c r="B91" s="167"/>
      <c r="C91" s="199"/>
      <c r="D91" s="199"/>
      <c r="E91" s="169"/>
      <c r="F91" s="170"/>
      <c r="G91" s="231"/>
      <c r="H91" s="169"/>
      <c r="I91" s="149" t="e">
        <f t="shared" si="1"/>
        <v>#DIV/0!</v>
      </c>
      <c r="J91" s="171"/>
    </row>
    <row r="92" spans="1:10" s="28" customFormat="1" x14ac:dyDescent="0.2">
      <c r="A92" s="155">
        <v>37</v>
      </c>
      <c r="B92" s="167"/>
      <c r="C92" s="199"/>
      <c r="D92" s="199"/>
      <c r="E92" s="169"/>
      <c r="F92" s="170"/>
      <c r="G92" s="231"/>
      <c r="H92" s="169"/>
      <c r="I92" s="149" t="e">
        <f t="shared" si="1"/>
        <v>#DIV/0!</v>
      </c>
      <c r="J92" s="171"/>
    </row>
    <row r="93" spans="1:10" s="28" customFormat="1" x14ac:dyDescent="0.2">
      <c r="A93" s="155">
        <v>38</v>
      </c>
      <c r="B93" s="167"/>
      <c r="C93" s="199"/>
      <c r="D93" s="199"/>
      <c r="E93" s="169"/>
      <c r="F93" s="170"/>
      <c r="G93" s="231"/>
      <c r="H93" s="169"/>
      <c r="I93" s="149" t="e">
        <f t="shared" si="1"/>
        <v>#DIV/0!</v>
      </c>
      <c r="J93" s="171"/>
    </row>
    <row r="94" spans="1:10" s="28" customFormat="1" x14ac:dyDescent="0.2">
      <c r="A94" s="155">
        <v>39</v>
      </c>
      <c r="B94" s="167"/>
      <c r="C94" s="199"/>
      <c r="D94" s="199"/>
      <c r="E94" s="169"/>
      <c r="F94" s="170"/>
      <c r="G94" s="231"/>
      <c r="H94" s="169"/>
      <c r="I94" s="149" t="e">
        <f t="shared" si="1"/>
        <v>#DIV/0!</v>
      </c>
      <c r="J94" s="171"/>
    </row>
    <row r="95" spans="1:10" s="28" customFormat="1" x14ac:dyDescent="0.2">
      <c r="A95" s="155">
        <v>40</v>
      </c>
      <c r="B95" s="167"/>
      <c r="C95" s="199"/>
      <c r="D95" s="199"/>
      <c r="E95" s="169"/>
      <c r="F95" s="170"/>
      <c r="G95" s="231"/>
      <c r="H95" s="169"/>
      <c r="I95" s="149" t="e">
        <f t="shared" si="1"/>
        <v>#DIV/0!</v>
      </c>
      <c r="J95" s="171"/>
    </row>
    <row r="96" spans="1:10" s="28" customFormat="1" x14ac:dyDescent="0.2">
      <c r="A96" s="155">
        <v>41</v>
      </c>
      <c r="B96" s="167"/>
      <c r="C96" s="199"/>
      <c r="D96" s="199"/>
      <c r="E96" s="169"/>
      <c r="F96" s="170"/>
      <c r="G96" s="231"/>
      <c r="H96" s="169"/>
      <c r="I96" s="149" t="e">
        <f t="shared" si="1"/>
        <v>#DIV/0!</v>
      </c>
      <c r="J96" s="171"/>
    </row>
    <row r="97" spans="1:10" s="28" customFormat="1" x14ac:dyDescent="0.2">
      <c r="A97" s="155">
        <v>42</v>
      </c>
      <c r="B97" s="167"/>
      <c r="C97" s="199"/>
      <c r="D97" s="199"/>
      <c r="E97" s="169"/>
      <c r="F97" s="170"/>
      <c r="G97" s="231"/>
      <c r="H97" s="169"/>
      <c r="I97" s="149" t="e">
        <f t="shared" si="1"/>
        <v>#DIV/0!</v>
      </c>
      <c r="J97" s="171"/>
    </row>
    <row r="98" spans="1:10" s="28" customFormat="1" x14ac:dyDescent="0.2">
      <c r="A98" s="155">
        <v>43</v>
      </c>
      <c r="B98" s="167"/>
      <c r="C98" s="199"/>
      <c r="D98" s="199"/>
      <c r="E98" s="169"/>
      <c r="F98" s="170"/>
      <c r="G98" s="231"/>
      <c r="H98" s="169"/>
      <c r="I98" s="149" t="e">
        <f t="shared" si="1"/>
        <v>#DIV/0!</v>
      </c>
      <c r="J98" s="171"/>
    </row>
    <row r="99" spans="1:10" s="28" customFormat="1" x14ac:dyDescent="0.2">
      <c r="A99" s="155">
        <v>44</v>
      </c>
      <c r="B99" s="167"/>
      <c r="C99" s="199"/>
      <c r="D99" s="199"/>
      <c r="E99" s="169"/>
      <c r="F99" s="170"/>
      <c r="G99" s="231"/>
      <c r="H99" s="169"/>
      <c r="I99" s="149" t="e">
        <f t="shared" si="1"/>
        <v>#DIV/0!</v>
      </c>
      <c r="J99" s="171"/>
    </row>
    <row r="100" spans="1:10" s="28" customFormat="1" x14ac:dyDescent="0.2">
      <c r="A100" s="155">
        <v>45</v>
      </c>
      <c r="B100" s="167"/>
      <c r="C100" s="199"/>
      <c r="D100" s="199"/>
      <c r="E100" s="169"/>
      <c r="F100" s="170"/>
      <c r="G100" s="231"/>
      <c r="H100" s="169"/>
      <c r="I100" s="149" t="e">
        <f t="shared" si="1"/>
        <v>#DIV/0!</v>
      </c>
      <c r="J100" s="171"/>
    </row>
    <row r="101" spans="1:10" s="28" customFormat="1" x14ac:dyDescent="0.2">
      <c r="A101" s="155">
        <v>46</v>
      </c>
      <c r="B101" s="167"/>
      <c r="C101" s="199"/>
      <c r="D101" s="199"/>
      <c r="E101" s="169"/>
      <c r="F101" s="170"/>
      <c r="G101" s="231"/>
      <c r="H101" s="169"/>
      <c r="I101" s="149" t="e">
        <f t="shared" si="1"/>
        <v>#DIV/0!</v>
      </c>
      <c r="J101" s="171"/>
    </row>
    <row r="102" spans="1:10" s="28" customFormat="1" x14ac:dyDescent="0.2">
      <c r="A102" s="155">
        <v>47</v>
      </c>
      <c r="B102" s="167"/>
      <c r="C102" s="199"/>
      <c r="D102" s="199"/>
      <c r="E102" s="169"/>
      <c r="F102" s="170"/>
      <c r="G102" s="231"/>
      <c r="H102" s="169"/>
      <c r="I102" s="149" t="e">
        <f t="shared" si="1"/>
        <v>#DIV/0!</v>
      </c>
      <c r="J102" s="171"/>
    </row>
    <row r="103" spans="1:10" s="28" customFormat="1" x14ac:dyDescent="0.2">
      <c r="A103" s="155">
        <v>48</v>
      </c>
      <c r="B103" s="167"/>
      <c r="C103" s="199"/>
      <c r="D103" s="199"/>
      <c r="E103" s="169"/>
      <c r="F103" s="170"/>
      <c r="G103" s="231"/>
      <c r="H103" s="169"/>
      <c r="I103" s="149" t="e">
        <f t="shared" si="1"/>
        <v>#DIV/0!</v>
      </c>
      <c r="J103" s="171"/>
    </row>
    <row r="104" spans="1:10" s="28" customFormat="1" x14ac:dyDescent="0.2">
      <c r="A104" s="155">
        <v>49</v>
      </c>
      <c r="B104" s="167"/>
      <c r="C104" s="199"/>
      <c r="D104" s="199"/>
      <c r="E104" s="169"/>
      <c r="F104" s="170"/>
      <c r="G104" s="231"/>
      <c r="H104" s="169"/>
      <c r="I104" s="149" t="e">
        <f t="shared" si="1"/>
        <v>#DIV/0!</v>
      </c>
      <c r="J104" s="171"/>
    </row>
    <row r="105" spans="1:10" s="28" customFormat="1" x14ac:dyDescent="0.2">
      <c r="A105" s="155">
        <v>50</v>
      </c>
      <c r="B105" s="167"/>
      <c r="C105" s="199"/>
      <c r="D105" s="199"/>
      <c r="E105" s="169"/>
      <c r="F105" s="170"/>
      <c r="G105" s="231"/>
      <c r="H105" s="169"/>
      <c r="I105" s="149" t="e">
        <f t="shared" si="1"/>
        <v>#DIV/0!</v>
      </c>
      <c r="J105" s="171"/>
    </row>
    <row r="106" spans="1:10" s="28" customFormat="1" ht="12" thickBot="1" x14ac:dyDescent="0.25">
      <c r="A106" s="154"/>
      <c r="B106" s="139" t="str">
        <f>IF(L!$B$536=2,L!B588,L!C588)</f>
        <v>Итого:</v>
      </c>
      <c r="C106" s="139" t="s">
        <v>611</v>
      </c>
      <c r="D106" s="139" t="s">
        <v>611</v>
      </c>
      <c r="E106" s="162">
        <f>SUM(E56:E105)</f>
        <v>0</v>
      </c>
      <c r="F106" s="139" t="s">
        <v>611</v>
      </c>
      <c r="G106" s="139" t="s">
        <v>611</v>
      </c>
      <c r="H106" s="162">
        <f>SUM(H56:H105)</f>
        <v>0</v>
      </c>
      <c r="I106" s="162" t="e">
        <f>SUM(I56:I105)</f>
        <v>#DIV/0!</v>
      </c>
      <c r="J106" s="139" t="s">
        <v>611</v>
      </c>
    </row>
    <row r="107" spans="1:10" x14ac:dyDescent="0.2">
      <c r="E107" s="34"/>
      <c r="F107" s="37"/>
      <c r="H107" s="37"/>
      <c r="I107" s="37"/>
    </row>
    <row r="108" spans="1:10" x14ac:dyDescent="0.2">
      <c r="E108" s="35"/>
    </row>
    <row r="109" spans="1:10" x14ac:dyDescent="0.2">
      <c r="F109" s="37"/>
      <c r="H109" s="34"/>
      <c r="I109" s="34"/>
    </row>
    <row r="110" spans="1:10" x14ac:dyDescent="0.2">
      <c r="F110" s="37"/>
    </row>
    <row r="111" spans="1:10" x14ac:dyDescent="0.2">
      <c r="F111" s="37"/>
    </row>
    <row r="112" spans="1:10" x14ac:dyDescent="0.2">
      <c r="E112" s="34"/>
    </row>
    <row r="113" spans="6:6" x14ac:dyDescent="0.2">
      <c r="F113" s="34"/>
    </row>
    <row r="168" spans="2:2" x14ac:dyDescent="0.2">
      <c r="B168" s="188" t="s">
        <v>472</v>
      </c>
    </row>
    <row r="169" spans="2:2" x14ac:dyDescent="0.2">
      <c r="B169" s="188" t="s">
        <v>473</v>
      </c>
    </row>
    <row r="170" spans="2:2" x14ac:dyDescent="0.2">
      <c r="B170" s="189" t="s">
        <v>474</v>
      </c>
    </row>
    <row r="171" spans="2:2" x14ac:dyDescent="0.2">
      <c r="B171" s="189" t="s">
        <v>475</v>
      </c>
    </row>
    <row r="172" spans="2:2" x14ac:dyDescent="0.2">
      <c r="B172" s="189" t="s">
        <v>620</v>
      </c>
    </row>
  </sheetData>
  <sheetProtection password="8FDE" sheet="1" objects="1" scenarios="1" formatCells="0" formatColumns="0" formatRows="0" insertRows="0"/>
  <mergeCells count="31">
    <mergeCell ref="B54:B55"/>
    <mergeCell ref="A53:J53"/>
    <mergeCell ref="C54:C55"/>
    <mergeCell ref="J54:J55"/>
    <mergeCell ref="A54:A55"/>
    <mergeCell ref="G54:G55"/>
    <mergeCell ref="E54:E55"/>
    <mergeCell ref="C44:C45"/>
    <mergeCell ref="H44:I44"/>
    <mergeCell ref="H54:I54"/>
    <mergeCell ref="D54:D55"/>
    <mergeCell ref="F44:F45"/>
    <mergeCell ref="D44:D45"/>
    <mergeCell ref="E44:E45"/>
    <mergeCell ref="F54:F55"/>
    <mergeCell ref="A43:J43"/>
    <mergeCell ref="A44:A45"/>
    <mergeCell ref="J44:J45"/>
    <mergeCell ref="B44:B45"/>
    <mergeCell ref="A7:J7"/>
    <mergeCell ref="A8:J8"/>
    <mergeCell ref="H9:I9"/>
    <mergeCell ref="A9:A10"/>
    <mergeCell ref="B9:B10"/>
    <mergeCell ref="E9:E10"/>
    <mergeCell ref="C9:C10"/>
    <mergeCell ref="G9:G10"/>
    <mergeCell ref="F9:F10"/>
    <mergeCell ref="D9:D10"/>
    <mergeCell ref="J9:J10"/>
    <mergeCell ref="G44:G45"/>
  </mergeCells>
  <phoneticPr fontId="9" type="noConversion"/>
  <dataValidations count="6">
    <dataValidation type="list" allowBlank="1" showInputMessage="1" showErrorMessage="1" sqref="F46:F50 F56:F105 F11:F40">
      <formula1>$B$167:$B$172</formula1>
    </dataValidation>
    <dataValidation allowBlank="1" showInputMessage="1" showErrorMessage="1" prompt="Согласно кредитного договора, заключенного с кредитором." sqref="D11:D12"/>
    <dataValidation allowBlank="1" showInputMessage="1" showErrorMessage="1" prompt="Остаток кредита в национальной валюте Вашей страны (данные с бух.учета), а НЕ в той валюте, в которой был выдан кредит. " sqref="H11:H12"/>
    <dataValidation allowBlank="1" showInputMessage="1" showErrorMessage="1" prompt="Укажите сумму в валюте, в которой был одобрен/выдан кредит." sqref="E11:E12"/>
    <dataValidation allowBlank="1" showInputMessage="1" showErrorMessage="1" prompt="Вы можете добавить строки в этой таблице, если не хватит места для указания всех вкладчиков!!!" sqref="B103:B105"/>
    <dataValidation allowBlank="1" showInputMessage="1" showErrorMessage="1" prompt="Вы можете добавить строки в этой таблице, если не хватит места для указания информации по всем внешним займам!!!" sqref="B38:B40"/>
  </dataValidations>
  <pageMargins left="0.31" right="0.2" top="0.41" bottom="0.43" header="0.3" footer="0.3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80" r:id="rId4" name="Drop Down 20">
              <controlPr defaultSize="0" print="0" autoLine="0" autoPict="0">
                <anchor moveWithCells="1">
                  <from>
                    <xdr:col>4</xdr:col>
                    <xdr:colOff>19050</xdr:colOff>
                    <xdr:row>0</xdr:row>
                    <xdr:rowOff>85725</xdr:rowOff>
                  </from>
                  <to>
                    <xdr:col>4</xdr:col>
                    <xdr:colOff>752475</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dimension ref="A1:W57"/>
  <sheetViews>
    <sheetView showGridLines="0" zoomScaleNormal="100" workbookViewId="0">
      <selection activeCell="W4" sqref="W4"/>
    </sheetView>
  </sheetViews>
  <sheetFormatPr defaultColWidth="19.5703125" defaultRowHeight="11.25" outlineLevelCol="1" x14ac:dyDescent="0.2"/>
  <cols>
    <col min="1" max="1" width="4.28515625" style="1" bestFit="1" customWidth="1"/>
    <col min="2" max="2" width="40.85546875" style="1" customWidth="1"/>
    <col min="3" max="6" width="14.140625" style="1" bestFit="1" customWidth="1"/>
    <col min="7" max="7" width="14.28515625" style="1" customWidth="1"/>
    <col min="8" max="8" width="14.140625" style="1" bestFit="1" customWidth="1"/>
    <col min="9" max="9" width="4" style="1" customWidth="1"/>
    <col min="10" max="15" width="8.7109375" style="1" hidden="1" customWidth="1" outlineLevel="1"/>
    <col min="16" max="16" width="3.42578125" style="1" customWidth="1" collapsed="1"/>
    <col min="17" max="22" width="8.7109375" style="1" hidden="1" customWidth="1" outlineLevel="1"/>
    <col min="23" max="23" width="11" style="1" customWidth="1" collapsed="1"/>
    <col min="24" max="34" width="11" style="1" customWidth="1"/>
    <col min="35" max="16384" width="19.5703125" style="1"/>
  </cols>
  <sheetData>
    <row r="1" spans="1:22" ht="11.25" customHeight="1" x14ac:dyDescent="0.2">
      <c r="B1" s="47" t="str">
        <f>IF(Заявка!B15&gt;0,Заявка!B15,"")</f>
        <v/>
      </c>
      <c r="C1" s="948"/>
    </row>
    <row r="2" spans="1:22" x14ac:dyDescent="0.2">
      <c r="B2" s="947" t="str">
        <f>IF(L!$B$1=2,L!B7,L!C7)</f>
        <v>БАЛАНС</v>
      </c>
      <c r="C2" s="948"/>
    </row>
    <row r="3" spans="1:22" x14ac:dyDescent="0.2">
      <c r="B3" s="947"/>
      <c r="C3" s="948"/>
    </row>
    <row r="4" spans="1:22" x14ac:dyDescent="0.2">
      <c r="B4" s="8" t="str">
        <f>IF(L!$B$1=2,L!B8,L!C8)</f>
        <v>Введите пожалуйста данные прошедшие внешний аудит</v>
      </c>
      <c r="C4" s="328"/>
      <c r="D4" s="359"/>
      <c r="E4" s="359"/>
      <c r="F4" s="359"/>
      <c r="G4" s="359"/>
      <c r="H4" s="328"/>
    </row>
    <row r="5" spans="1:22" ht="12" thickBot="1" x14ac:dyDescent="0.25">
      <c r="A5" s="5"/>
      <c r="B5" s="5"/>
      <c r="C5" s="69"/>
      <c r="D5" s="12"/>
      <c r="E5" s="12"/>
      <c r="F5" s="233"/>
      <c r="G5" s="233"/>
      <c r="H5" s="233"/>
    </row>
    <row r="6" spans="1:22" ht="12" thickBot="1" x14ac:dyDescent="0.25">
      <c r="A6" s="40"/>
      <c r="B6" s="51" t="str">
        <f>IF(L!$B$1=2,L!B13,L!C13)</f>
        <v>ОТЧЕТНЫЙ ПЕРИОД :</v>
      </c>
      <c r="C6" s="318" t="str">
        <f>Заявка!A97</f>
        <v/>
      </c>
      <c r="D6" s="318" t="str">
        <f>Заявка!A96</f>
        <v/>
      </c>
      <c r="E6" s="318" t="str">
        <f>Заявка!A95</f>
        <v/>
      </c>
      <c r="F6" s="318" t="str">
        <f>Заявка!A94</f>
        <v/>
      </c>
      <c r="G6" s="318" t="str">
        <f>Заявка!A93</f>
        <v/>
      </c>
      <c r="H6" s="166">
        <f>Заявка!A92</f>
        <v>0</v>
      </c>
      <c r="J6" s="504" t="str">
        <f>C6</f>
        <v/>
      </c>
      <c r="K6" s="504" t="str">
        <f t="shared" ref="K6:O6" si="0">D6</f>
        <v/>
      </c>
      <c r="L6" s="504" t="str">
        <f t="shared" si="0"/>
        <v/>
      </c>
      <c r="M6" s="504" t="str">
        <f t="shared" si="0"/>
        <v/>
      </c>
      <c r="N6" s="504" t="str">
        <f t="shared" si="0"/>
        <v/>
      </c>
      <c r="O6" s="504">
        <f t="shared" si="0"/>
        <v>0</v>
      </c>
      <c r="Q6" s="503" t="str">
        <f>C6</f>
        <v/>
      </c>
      <c r="R6" s="503" t="str">
        <f t="shared" ref="R6:V6" si="1">D6</f>
        <v/>
      </c>
      <c r="S6" s="503" t="str">
        <f t="shared" si="1"/>
        <v/>
      </c>
      <c r="T6" s="503" t="str">
        <f t="shared" si="1"/>
        <v/>
      </c>
      <c r="U6" s="503" t="str">
        <f t="shared" si="1"/>
        <v/>
      </c>
      <c r="V6" s="503">
        <f t="shared" si="1"/>
        <v>0</v>
      </c>
    </row>
    <row r="7" spans="1:22" ht="24.75" customHeight="1" x14ac:dyDescent="0.2">
      <c r="A7" s="41"/>
      <c r="B7" s="10" t="str">
        <f>IF(L!$B$1=2,L!B14,L!C14)</f>
        <v>АКТИВЫ</v>
      </c>
      <c r="C7" s="42" t="str">
        <f>IF(L!$B$1=2,L!B5,L!C5)</f>
        <v>В национальной валюте</v>
      </c>
      <c r="D7" s="42" t="str">
        <f>IF(L!$B$1=2,L!B5,L!C5)</f>
        <v>В национальной валюте</v>
      </c>
      <c r="E7" s="42" t="str">
        <f>IF(L!$B$1=2,L!B5,L!C5)</f>
        <v>В национальной валюте</v>
      </c>
      <c r="F7" s="42" t="str">
        <f>IF(L!$B$1=2,L!B5,L!C5)</f>
        <v>В национальной валюте</v>
      </c>
      <c r="G7" s="42" t="str">
        <f>IF(L!$B$1=2,L!B5,L!C5)</f>
        <v>В национальной валюте</v>
      </c>
      <c r="H7" s="42" t="str">
        <f>IF(L!$B$1=2,L!B5,L!C5)</f>
        <v>В национальной валюте</v>
      </c>
      <c r="J7" s="942" t="str">
        <f>IF(L!$B$1=2,L!B9,L!C9)</f>
        <v>Вертикальный анализ</v>
      </c>
      <c r="K7" s="943"/>
      <c r="L7" s="943"/>
      <c r="M7" s="943"/>
      <c r="N7" s="943"/>
      <c r="O7" s="944"/>
      <c r="Q7" s="942" t="str">
        <f>IF(L!$B$1=2,L!B10,L!C10)</f>
        <v>Горизонтальный анализ</v>
      </c>
      <c r="R7" s="943"/>
      <c r="S7" s="943"/>
      <c r="T7" s="943"/>
      <c r="U7" s="943"/>
      <c r="V7" s="944"/>
    </row>
    <row r="8" spans="1:22" x14ac:dyDescent="0.2">
      <c r="A8" s="4" t="s">
        <v>302</v>
      </c>
      <c r="B8" s="4" t="str">
        <f>IF(L!$B$1=2,L!B15,L!C15)</f>
        <v>Касса, наличные денежные средства</v>
      </c>
      <c r="C8" s="355"/>
      <c r="D8" s="347"/>
      <c r="E8" s="347"/>
      <c r="F8" s="347"/>
      <c r="G8" s="347"/>
      <c r="H8" s="347"/>
      <c r="J8" s="691" t="e">
        <f>C8/C$22</f>
        <v>#DIV/0!</v>
      </c>
      <c r="K8" s="691" t="e">
        <f t="shared" ref="K8:O22" si="2">D8/D$22</f>
        <v>#DIV/0!</v>
      </c>
      <c r="L8" s="691" t="e">
        <f t="shared" si="2"/>
        <v>#DIV/0!</v>
      </c>
      <c r="M8" s="691" t="e">
        <f t="shared" si="2"/>
        <v>#DIV/0!</v>
      </c>
      <c r="N8" s="691" t="e">
        <f t="shared" si="2"/>
        <v>#DIV/0!</v>
      </c>
      <c r="O8" s="690" t="e">
        <f t="shared" si="2"/>
        <v>#DIV/0!</v>
      </c>
      <c r="Q8" s="690"/>
      <c r="R8" s="691" t="str">
        <f>IF(C8=0,"",D8/C8-1)</f>
        <v/>
      </c>
      <c r="S8" s="691" t="str">
        <f t="shared" ref="S8:V8" si="3">IF(D8=0,"N/A",E8/D8-1)</f>
        <v>N/A</v>
      </c>
      <c r="T8" s="691" t="str">
        <f t="shared" si="3"/>
        <v>N/A</v>
      </c>
      <c r="U8" s="691" t="str">
        <f t="shared" si="3"/>
        <v>N/A</v>
      </c>
      <c r="V8" s="690" t="str">
        <f t="shared" si="3"/>
        <v>N/A</v>
      </c>
    </row>
    <row r="9" spans="1:22" x14ac:dyDescent="0.2">
      <c r="A9" s="4" t="s">
        <v>303</v>
      </c>
      <c r="B9" s="4" t="str">
        <f>IF(L!$B$1=2,L!B16,L!C16)</f>
        <v>Средства на расчетных счетах (счета в банках)</v>
      </c>
      <c r="C9" s="355"/>
      <c r="D9" s="347"/>
      <c r="E9" s="347"/>
      <c r="F9" s="347"/>
      <c r="G9" s="347"/>
      <c r="H9" s="347"/>
      <c r="J9" s="493" t="e">
        <f t="shared" ref="J9:J46" si="4">C9/C$22</f>
        <v>#DIV/0!</v>
      </c>
      <c r="K9" s="493" t="e">
        <f t="shared" si="2"/>
        <v>#DIV/0!</v>
      </c>
      <c r="L9" s="493" t="e">
        <f t="shared" si="2"/>
        <v>#DIV/0!</v>
      </c>
      <c r="M9" s="493" t="e">
        <f t="shared" si="2"/>
        <v>#DIV/0!</v>
      </c>
      <c r="N9" s="493" t="e">
        <f t="shared" si="2"/>
        <v>#DIV/0!</v>
      </c>
      <c r="O9" s="494" t="e">
        <f t="shared" si="2"/>
        <v>#DIV/0!</v>
      </c>
      <c r="Q9" s="494"/>
      <c r="R9" s="691" t="str">
        <f t="shared" ref="R9:R46" si="5">IF(C9=0,"",D9/C9-1)</f>
        <v/>
      </c>
      <c r="S9" s="691" t="str">
        <f t="shared" ref="S9:S46" si="6">IF(D9=0,"",E9/D9-1)</f>
        <v/>
      </c>
      <c r="T9" s="691" t="str">
        <f t="shared" ref="T9:T46" si="7">IF(E9=0,"",F9/E9-1)</f>
        <v/>
      </c>
      <c r="U9" s="691" t="str">
        <f t="shared" ref="U9:U46" si="8">IF(F9=0,"",G9/F9-1)</f>
        <v/>
      </c>
      <c r="V9" s="690" t="str">
        <f t="shared" ref="V9:V46" si="9">IF(G9=0,"",H9/G9-1)</f>
        <v/>
      </c>
    </row>
    <row r="10" spans="1:22" x14ac:dyDescent="0.2">
      <c r="A10" s="4" t="s">
        <v>305</v>
      </c>
      <c r="B10" s="4" t="str">
        <f>IF(L!$B$1=2,L!B17,L!C17)</f>
        <v>Краткосрочные инвестиции/Депозитные счета</v>
      </c>
      <c r="C10" s="347"/>
      <c r="D10" s="348"/>
      <c r="E10" s="347"/>
      <c r="F10" s="348"/>
      <c r="G10" s="347"/>
      <c r="H10" s="347"/>
      <c r="J10" s="493" t="e">
        <f t="shared" si="4"/>
        <v>#DIV/0!</v>
      </c>
      <c r="K10" s="493" t="e">
        <f t="shared" si="2"/>
        <v>#DIV/0!</v>
      </c>
      <c r="L10" s="493" t="e">
        <f t="shared" si="2"/>
        <v>#DIV/0!</v>
      </c>
      <c r="M10" s="493" t="e">
        <f t="shared" si="2"/>
        <v>#DIV/0!</v>
      </c>
      <c r="N10" s="493" t="e">
        <f t="shared" si="2"/>
        <v>#DIV/0!</v>
      </c>
      <c r="O10" s="494" t="e">
        <f t="shared" si="2"/>
        <v>#DIV/0!</v>
      </c>
      <c r="Q10" s="494"/>
      <c r="R10" s="691" t="str">
        <f t="shared" si="5"/>
        <v/>
      </c>
      <c r="S10" s="691" t="str">
        <f t="shared" si="6"/>
        <v/>
      </c>
      <c r="T10" s="691" t="str">
        <f t="shared" si="7"/>
        <v/>
      </c>
      <c r="U10" s="691" t="str">
        <f t="shared" si="8"/>
        <v/>
      </c>
      <c r="V10" s="690" t="str">
        <f t="shared" si="9"/>
        <v/>
      </c>
    </row>
    <row r="11" spans="1:22" x14ac:dyDescent="0.2">
      <c r="A11" s="10" t="s">
        <v>306</v>
      </c>
      <c r="B11" s="10" t="str">
        <f>IF(L!$B$1=2,L!B18,L!C18)</f>
        <v>Итого портфель займов</v>
      </c>
      <c r="C11" s="348"/>
      <c r="D11" s="348"/>
      <c r="E11" s="348"/>
      <c r="F11" s="348"/>
      <c r="G11" s="348"/>
      <c r="H11" s="348"/>
      <c r="J11" s="493" t="e">
        <f t="shared" si="4"/>
        <v>#DIV/0!</v>
      </c>
      <c r="K11" s="493" t="e">
        <f t="shared" si="2"/>
        <v>#DIV/0!</v>
      </c>
      <c r="L11" s="493" t="e">
        <f t="shared" si="2"/>
        <v>#DIV/0!</v>
      </c>
      <c r="M11" s="493" t="e">
        <f t="shared" si="2"/>
        <v>#DIV/0!</v>
      </c>
      <c r="N11" s="493" t="e">
        <f t="shared" si="2"/>
        <v>#DIV/0!</v>
      </c>
      <c r="O11" s="494" t="e">
        <f t="shared" si="2"/>
        <v>#DIV/0!</v>
      </c>
      <c r="Q11" s="494"/>
      <c r="R11" s="691" t="str">
        <f t="shared" si="5"/>
        <v/>
      </c>
      <c r="S11" s="691" t="str">
        <f t="shared" si="6"/>
        <v/>
      </c>
      <c r="T11" s="691" t="str">
        <f t="shared" si="7"/>
        <v/>
      </c>
      <c r="U11" s="691" t="str">
        <f t="shared" si="8"/>
        <v/>
      </c>
      <c r="V11" s="690" t="str">
        <f t="shared" si="9"/>
        <v/>
      </c>
    </row>
    <row r="12" spans="1:22" x14ac:dyDescent="0.2">
      <c r="A12" s="4" t="s">
        <v>309</v>
      </c>
      <c r="B12" s="4" t="str">
        <f>IF(L!$B$1=2,L!B19,L!C19)</f>
        <v>(Резерв под убытки по займам)</v>
      </c>
      <c r="C12" s="347"/>
      <c r="D12" s="347"/>
      <c r="E12" s="347"/>
      <c r="F12" s="347"/>
      <c r="G12" s="347"/>
      <c r="H12" s="347"/>
      <c r="J12" s="493" t="e">
        <f t="shared" si="4"/>
        <v>#DIV/0!</v>
      </c>
      <c r="K12" s="493" t="e">
        <f t="shared" si="2"/>
        <v>#DIV/0!</v>
      </c>
      <c r="L12" s="493" t="e">
        <f t="shared" si="2"/>
        <v>#DIV/0!</v>
      </c>
      <c r="M12" s="493" t="e">
        <f t="shared" si="2"/>
        <v>#DIV/0!</v>
      </c>
      <c r="N12" s="493" t="e">
        <f t="shared" si="2"/>
        <v>#DIV/0!</v>
      </c>
      <c r="O12" s="494" t="e">
        <f t="shared" si="2"/>
        <v>#DIV/0!</v>
      </c>
      <c r="Q12" s="494"/>
      <c r="R12" s="691" t="str">
        <f t="shared" si="5"/>
        <v/>
      </c>
      <c r="S12" s="691" t="str">
        <f t="shared" si="6"/>
        <v/>
      </c>
      <c r="T12" s="691" t="str">
        <f t="shared" si="7"/>
        <v/>
      </c>
      <c r="U12" s="691" t="str">
        <f t="shared" si="8"/>
        <v/>
      </c>
      <c r="V12" s="690" t="str">
        <f t="shared" si="9"/>
        <v/>
      </c>
    </row>
    <row r="13" spans="1:22" s="8" customFormat="1" x14ac:dyDescent="0.2">
      <c r="A13" s="10" t="s">
        <v>310</v>
      </c>
      <c r="B13" s="10" t="str">
        <f>IF(L!$B$1=2,L!B20,L!C20)</f>
        <v>Чистый портфель (B4-B5)</v>
      </c>
      <c r="C13" s="349">
        <f t="shared" ref="C13:H13" si="10">C11-C12</f>
        <v>0</v>
      </c>
      <c r="D13" s="349">
        <f t="shared" si="10"/>
        <v>0</v>
      </c>
      <c r="E13" s="349">
        <f t="shared" si="10"/>
        <v>0</v>
      </c>
      <c r="F13" s="349">
        <f t="shared" si="10"/>
        <v>0</v>
      </c>
      <c r="G13" s="349">
        <f t="shared" si="10"/>
        <v>0</v>
      </c>
      <c r="H13" s="349">
        <f t="shared" si="10"/>
        <v>0</v>
      </c>
      <c r="J13" s="493" t="e">
        <f t="shared" si="4"/>
        <v>#DIV/0!</v>
      </c>
      <c r="K13" s="493" t="e">
        <f t="shared" si="2"/>
        <v>#DIV/0!</v>
      </c>
      <c r="L13" s="493" t="e">
        <f t="shared" si="2"/>
        <v>#DIV/0!</v>
      </c>
      <c r="M13" s="493" t="e">
        <f t="shared" si="2"/>
        <v>#DIV/0!</v>
      </c>
      <c r="N13" s="493" t="e">
        <f t="shared" si="2"/>
        <v>#DIV/0!</v>
      </c>
      <c r="O13" s="494" t="e">
        <f t="shared" si="2"/>
        <v>#DIV/0!</v>
      </c>
      <c r="Q13" s="494"/>
      <c r="R13" s="691" t="str">
        <f t="shared" si="5"/>
        <v/>
      </c>
      <c r="S13" s="691" t="str">
        <f t="shared" si="6"/>
        <v/>
      </c>
      <c r="T13" s="691" t="str">
        <f t="shared" si="7"/>
        <v/>
      </c>
      <c r="U13" s="691" t="str">
        <f t="shared" si="8"/>
        <v/>
      </c>
      <c r="V13" s="690" t="str">
        <f t="shared" si="9"/>
        <v/>
      </c>
    </row>
    <row r="14" spans="1:22" s="8" customFormat="1" x14ac:dyDescent="0.2">
      <c r="A14" s="4" t="s">
        <v>312</v>
      </c>
      <c r="B14" s="4" t="str">
        <f>IF(L!$B$1=2,L!B21,L!C21)</f>
        <v>Начисленные проценты по кредитам</v>
      </c>
      <c r="C14" s="347"/>
      <c r="D14" s="347"/>
      <c r="E14" s="347"/>
      <c r="F14" s="347"/>
      <c r="G14" s="347"/>
      <c r="H14" s="347"/>
      <c r="J14" s="493" t="e">
        <f t="shared" si="4"/>
        <v>#DIV/0!</v>
      </c>
      <c r="K14" s="493" t="e">
        <f t="shared" si="2"/>
        <v>#DIV/0!</v>
      </c>
      <c r="L14" s="493" t="e">
        <f t="shared" si="2"/>
        <v>#DIV/0!</v>
      </c>
      <c r="M14" s="493" t="e">
        <f t="shared" si="2"/>
        <v>#DIV/0!</v>
      </c>
      <c r="N14" s="493" t="e">
        <f t="shared" si="2"/>
        <v>#DIV/0!</v>
      </c>
      <c r="O14" s="494" t="e">
        <f t="shared" si="2"/>
        <v>#DIV/0!</v>
      </c>
      <c r="Q14" s="494"/>
      <c r="R14" s="691" t="str">
        <f t="shared" si="5"/>
        <v/>
      </c>
      <c r="S14" s="691" t="str">
        <f t="shared" si="6"/>
        <v/>
      </c>
      <c r="T14" s="691" t="str">
        <f t="shared" si="7"/>
        <v/>
      </c>
      <c r="U14" s="691" t="str">
        <f t="shared" si="8"/>
        <v/>
      </c>
      <c r="V14" s="690" t="str">
        <f t="shared" si="9"/>
        <v/>
      </c>
    </row>
    <row r="15" spans="1:22" x14ac:dyDescent="0.2">
      <c r="A15" s="4" t="s">
        <v>313</v>
      </c>
      <c r="B15" s="4" t="str">
        <f>IF(L!$B$1=2,L!B22,L!C22)</f>
        <v>Прочие текущие активы</v>
      </c>
      <c r="C15" s="347"/>
      <c r="D15" s="347"/>
      <c r="E15" s="347"/>
      <c r="F15" s="347"/>
      <c r="G15" s="347"/>
      <c r="H15" s="347"/>
      <c r="J15" s="493" t="e">
        <f t="shared" si="4"/>
        <v>#DIV/0!</v>
      </c>
      <c r="K15" s="493" t="e">
        <f t="shared" si="2"/>
        <v>#DIV/0!</v>
      </c>
      <c r="L15" s="493" t="e">
        <f t="shared" si="2"/>
        <v>#DIV/0!</v>
      </c>
      <c r="M15" s="493" t="e">
        <f t="shared" si="2"/>
        <v>#DIV/0!</v>
      </c>
      <c r="N15" s="493" t="e">
        <f t="shared" si="2"/>
        <v>#DIV/0!</v>
      </c>
      <c r="O15" s="494" t="e">
        <f t="shared" si="2"/>
        <v>#DIV/0!</v>
      </c>
      <c r="Q15" s="494"/>
      <c r="R15" s="691" t="str">
        <f t="shared" si="5"/>
        <v/>
      </c>
      <c r="S15" s="691" t="str">
        <f t="shared" si="6"/>
        <v/>
      </c>
      <c r="T15" s="691" t="str">
        <f t="shared" si="7"/>
        <v/>
      </c>
      <c r="U15" s="691" t="str">
        <f t="shared" si="8"/>
        <v/>
      </c>
      <c r="V15" s="690" t="str">
        <f t="shared" si="9"/>
        <v/>
      </c>
    </row>
    <row r="16" spans="1:22" s="8" customFormat="1" x14ac:dyDescent="0.2">
      <c r="A16" s="10" t="s">
        <v>316</v>
      </c>
      <c r="B16" s="10" t="str">
        <f>IF(L!$B$1=2,L!B23,L!C23)</f>
        <v>Итого текущие активы (B1+B2+B3+B6+B7+B8)</v>
      </c>
      <c r="C16" s="349">
        <f t="shared" ref="C16:H16" si="11">C8+C9+C10+C13+C14+C15</f>
        <v>0</v>
      </c>
      <c r="D16" s="349">
        <f t="shared" si="11"/>
        <v>0</v>
      </c>
      <c r="E16" s="349">
        <f t="shared" si="11"/>
        <v>0</v>
      </c>
      <c r="F16" s="349">
        <f t="shared" si="11"/>
        <v>0</v>
      </c>
      <c r="G16" s="349">
        <f t="shared" si="11"/>
        <v>0</v>
      </c>
      <c r="H16" s="349">
        <f t="shared" si="11"/>
        <v>0</v>
      </c>
      <c r="J16" s="493" t="e">
        <f t="shared" si="4"/>
        <v>#DIV/0!</v>
      </c>
      <c r="K16" s="493" t="e">
        <f t="shared" si="2"/>
        <v>#DIV/0!</v>
      </c>
      <c r="L16" s="493" t="e">
        <f t="shared" si="2"/>
        <v>#DIV/0!</v>
      </c>
      <c r="M16" s="493" t="e">
        <f t="shared" si="2"/>
        <v>#DIV/0!</v>
      </c>
      <c r="N16" s="493" t="e">
        <f t="shared" si="2"/>
        <v>#DIV/0!</v>
      </c>
      <c r="O16" s="494" t="e">
        <f t="shared" si="2"/>
        <v>#DIV/0!</v>
      </c>
      <c r="Q16" s="494"/>
      <c r="R16" s="691" t="str">
        <f t="shared" si="5"/>
        <v/>
      </c>
      <c r="S16" s="691" t="str">
        <f t="shared" si="6"/>
        <v/>
      </c>
      <c r="T16" s="691" t="str">
        <f t="shared" si="7"/>
        <v/>
      </c>
      <c r="U16" s="691" t="str">
        <f t="shared" si="8"/>
        <v/>
      </c>
      <c r="V16" s="690" t="str">
        <f t="shared" si="9"/>
        <v/>
      </c>
    </row>
    <row r="17" spans="1:22" x14ac:dyDescent="0.2">
      <c r="A17" s="4" t="s">
        <v>319</v>
      </c>
      <c r="B17" s="4" t="str">
        <f>IF(L!$B$1=2,L!B24,L!C24)</f>
        <v>Долгосрочные инвестиции</v>
      </c>
      <c r="C17" s="347"/>
      <c r="D17" s="347"/>
      <c r="E17" s="347"/>
      <c r="F17" s="347"/>
      <c r="G17" s="347"/>
      <c r="H17" s="347"/>
      <c r="J17" s="493" t="e">
        <f t="shared" si="4"/>
        <v>#DIV/0!</v>
      </c>
      <c r="K17" s="493" t="e">
        <f t="shared" si="2"/>
        <v>#DIV/0!</v>
      </c>
      <c r="L17" s="493" t="e">
        <f t="shared" si="2"/>
        <v>#DIV/0!</v>
      </c>
      <c r="M17" s="493" t="e">
        <f t="shared" si="2"/>
        <v>#DIV/0!</v>
      </c>
      <c r="N17" s="493" t="e">
        <f t="shared" si="2"/>
        <v>#DIV/0!</v>
      </c>
      <c r="O17" s="494" t="e">
        <f t="shared" si="2"/>
        <v>#DIV/0!</v>
      </c>
      <c r="Q17" s="494"/>
      <c r="R17" s="691" t="str">
        <f t="shared" si="5"/>
        <v/>
      </c>
      <c r="S17" s="691" t="str">
        <f t="shared" si="6"/>
        <v/>
      </c>
      <c r="T17" s="691" t="str">
        <f t="shared" si="7"/>
        <v/>
      </c>
      <c r="U17" s="691" t="str">
        <f t="shared" si="8"/>
        <v/>
      </c>
      <c r="V17" s="690" t="str">
        <f t="shared" si="9"/>
        <v/>
      </c>
    </row>
    <row r="18" spans="1:22" x14ac:dyDescent="0.2">
      <c r="A18" s="4" t="s">
        <v>322</v>
      </c>
      <c r="B18" s="4" t="str">
        <f>IF(L!$B$1=2,L!B25,L!C25)</f>
        <v>Основные средства: Имущество и оборудование</v>
      </c>
      <c r="C18" s="347"/>
      <c r="D18" s="347"/>
      <c r="E18" s="347"/>
      <c r="F18" s="347"/>
      <c r="G18" s="347"/>
      <c r="H18" s="347"/>
      <c r="J18" s="493" t="e">
        <f t="shared" si="4"/>
        <v>#DIV/0!</v>
      </c>
      <c r="K18" s="493" t="e">
        <f t="shared" si="2"/>
        <v>#DIV/0!</v>
      </c>
      <c r="L18" s="493" t="e">
        <f t="shared" si="2"/>
        <v>#DIV/0!</v>
      </c>
      <c r="M18" s="493" t="e">
        <f t="shared" si="2"/>
        <v>#DIV/0!</v>
      </c>
      <c r="N18" s="493" t="e">
        <f t="shared" si="2"/>
        <v>#DIV/0!</v>
      </c>
      <c r="O18" s="494" t="e">
        <f t="shared" si="2"/>
        <v>#DIV/0!</v>
      </c>
      <c r="Q18" s="494"/>
      <c r="R18" s="691" t="str">
        <f t="shared" si="5"/>
        <v/>
      </c>
      <c r="S18" s="691" t="str">
        <f t="shared" si="6"/>
        <v/>
      </c>
      <c r="T18" s="691" t="str">
        <f t="shared" si="7"/>
        <v/>
      </c>
      <c r="U18" s="691" t="str">
        <f t="shared" si="8"/>
        <v/>
      </c>
      <c r="V18" s="690" t="str">
        <f t="shared" si="9"/>
        <v/>
      </c>
    </row>
    <row r="19" spans="1:22" x14ac:dyDescent="0.2">
      <c r="A19" s="4" t="s">
        <v>323</v>
      </c>
      <c r="B19" s="4" t="str">
        <f>IF(L!$B$1=2,L!B26,L!C26)</f>
        <v>(Накопленный износ)</v>
      </c>
      <c r="C19" s="347"/>
      <c r="D19" s="347"/>
      <c r="E19" s="347"/>
      <c r="F19" s="347"/>
      <c r="G19" s="347"/>
      <c r="H19" s="347"/>
      <c r="J19" s="493" t="e">
        <f t="shared" si="4"/>
        <v>#DIV/0!</v>
      </c>
      <c r="K19" s="493" t="e">
        <f t="shared" si="2"/>
        <v>#DIV/0!</v>
      </c>
      <c r="L19" s="493" t="e">
        <f t="shared" si="2"/>
        <v>#DIV/0!</v>
      </c>
      <c r="M19" s="493" t="e">
        <f t="shared" si="2"/>
        <v>#DIV/0!</v>
      </c>
      <c r="N19" s="493" t="e">
        <f t="shared" si="2"/>
        <v>#DIV/0!</v>
      </c>
      <c r="O19" s="494" t="e">
        <f t="shared" si="2"/>
        <v>#DIV/0!</v>
      </c>
      <c r="Q19" s="494"/>
      <c r="R19" s="691" t="str">
        <f t="shared" si="5"/>
        <v/>
      </c>
      <c r="S19" s="691" t="str">
        <f t="shared" si="6"/>
        <v/>
      </c>
      <c r="T19" s="691" t="str">
        <f t="shared" si="7"/>
        <v/>
      </c>
      <c r="U19" s="691" t="str">
        <f t="shared" si="8"/>
        <v/>
      </c>
      <c r="V19" s="690" t="str">
        <f t="shared" si="9"/>
        <v/>
      </c>
    </row>
    <row r="20" spans="1:22" s="8" customFormat="1" ht="22.5" x14ac:dyDescent="0.2">
      <c r="A20" s="10" t="s">
        <v>324</v>
      </c>
      <c r="B20" s="10" t="str">
        <f>IF(L!$B$1=2,L!B27,L!C27)</f>
        <v>Балансовая стоимость основных средств (B11-B12)</v>
      </c>
      <c r="C20" s="349">
        <f t="shared" ref="C20:H20" si="12">C18-C19</f>
        <v>0</v>
      </c>
      <c r="D20" s="349">
        <f t="shared" si="12"/>
        <v>0</v>
      </c>
      <c r="E20" s="349">
        <f t="shared" si="12"/>
        <v>0</v>
      </c>
      <c r="F20" s="349">
        <f t="shared" si="12"/>
        <v>0</v>
      </c>
      <c r="G20" s="349">
        <f t="shared" si="12"/>
        <v>0</v>
      </c>
      <c r="H20" s="349">
        <f t="shared" si="12"/>
        <v>0</v>
      </c>
      <c r="J20" s="493" t="e">
        <f t="shared" si="4"/>
        <v>#DIV/0!</v>
      </c>
      <c r="K20" s="493" t="e">
        <f t="shared" si="2"/>
        <v>#DIV/0!</v>
      </c>
      <c r="L20" s="493" t="e">
        <f t="shared" si="2"/>
        <v>#DIV/0!</v>
      </c>
      <c r="M20" s="493" t="e">
        <f t="shared" si="2"/>
        <v>#DIV/0!</v>
      </c>
      <c r="N20" s="493" t="e">
        <f t="shared" si="2"/>
        <v>#DIV/0!</v>
      </c>
      <c r="O20" s="494" t="e">
        <f t="shared" si="2"/>
        <v>#DIV/0!</v>
      </c>
      <c r="Q20" s="494"/>
      <c r="R20" s="691" t="str">
        <f t="shared" si="5"/>
        <v/>
      </c>
      <c r="S20" s="691" t="str">
        <f t="shared" si="6"/>
        <v/>
      </c>
      <c r="T20" s="691" t="str">
        <f t="shared" si="7"/>
        <v/>
      </c>
      <c r="U20" s="691" t="str">
        <f t="shared" si="8"/>
        <v/>
      </c>
      <c r="V20" s="690" t="str">
        <f t="shared" si="9"/>
        <v/>
      </c>
    </row>
    <row r="21" spans="1:22" s="8" customFormat="1" x14ac:dyDescent="0.2">
      <c r="A21" s="10" t="s">
        <v>184</v>
      </c>
      <c r="B21" s="10" t="str">
        <f>IF(L!$B$1=2,L!B28,L!C28)</f>
        <v>Итого долгосрочные активы (B10+B13)</v>
      </c>
      <c r="C21" s="349">
        <f t="shared" ref="C21:H21" si="13">C17+C20</f>
        <v>0</v>
      </c>
      <c r="D21" s="349">
        <f t="shared" si="13"/>
        <v>0</v>
      </c>
      <c r="E21" s="349">
        <f t="shared" si="13"/>
        <v>0</v>
      </c>
      <c r="F21" s="349">
        <f t="shared" si="13"/>
        <v>0</v>
      </c>
      <c r="G21" s="349">
        <f t="shared" si="13"/>
        <v>0</v>
      </c>
      <c r="H21" s="349">
        <f t="shared" si="13"/>
        <v>0</v>
      </c>
      <c r="J21" s="493" t="e">
        <f t="shared" si="4"/>
        <v>#DIV/0!</v>
      </c>
      <c r="K21" s="493" t="e">
        <f t="shared" si="2"/>
        <v>#DIV/0!</v>
      </c>
      <c r="L21" s="493" t="e">
        <f t="shared" si="2"/>
        <v>#DIV/0!</v>
      </c>
      <c r="M21" s="493" t="e">
        <f t="shared" si="2"/>
        <v>#DIV/0!</v>
      </c>
      <c r="N21" s="493" t="e">
        <f t="shared" si="2"/>
        <v>#DIV/0!</v>
      </c>
      <c r="O21" s="494" t="e">
        <f t="shared" si="2"/>
        <v>#DIV/0!</v>
      </c>
      <c r="Q21" s="494"/>
      <c r="R21" s="691" t="str">
        <f t="shared" si="5"/>
        <v/>
      </c>
      <c r="S21" s="691" t="str">
        <f t="shared" si="6"/>
        <v/>
      </c>
      <c r="T21" s="691" t="str">
        <f t="shared" si="7"/>
        <v/>
      </c>
      <c r="U21" s="691" t="str">
        <f t="shared" si="8"/>
        <v/>
      </c>
      <c r="V21" s="690" t="str">
        <f t="shared" si="9"/>
        <v/>
      </c>
    </row>
    <row r="22" spans="1:22" s="50" customFormat="1" x14ac:dyDescent="0.15">
      <c r="A22" s="48" t="s">
        <v>1148</v>
      </c>
      <c r="B22" s="48" t="str">
        <f>IF(L!$B$1=2,L!B29,L!C29)</f>
        <v>ИТОГО АКТИВЫ (B8+B13)</v>
      </c>
      <c r="C22" s="350">
        <f t="shared" ref="C22:H22" si="14">C16+C21</f>
        <v>0</v>
      </c>
      <c r="D22" s="350">
        <f t="shared" si="14"/>
        <v>0</v>
      </c>
      <c r="E22" s="350">
        <f t="shared" si="14"/>
        <v>0</v>
      </c>
      <c r="F22" s="350">
        <f t="shared" si="14"/>
        <v>0</v>
      </c>
      <c r="G22" s="350">
        <f t="shared" si="14"/>
        <v>0</v>
      </c>
      <c r="H22" s="350">
        <f t="shared" si="14"/>
        <v>0</v>
      </c>
      <c r="J22" s="493" t="e">
        <f t="shared" si="4"/>
        <v>#DIV/0!</v>
      </c>
      <c r="K22" s="493" t="e">
        <f t="shared" si="2"/>
        <v>#DIV/0!</v>
      </c>
      <c r="L22" s="493" t="e">
        <f t="shared" si="2"/>
        <v>#DIV/0!</v>
      </c>
      <c r="M22" s="493" t="e">
        <f t="shared" si="2"/>
        <v>#DIV/0!</v>
      </c>
      <c r="N22" s="493" t="e">
        <f t="shared" si="2"/>
        <v>#DIV/0!</v>
      </c>
      <c r="O22" s="494" t="e">
        <f t="shared" si="2"/>
        <v>#DIV/0!</v>
      </c>
      <c r="Q22" s="506"/>
      <c r="R22" s="691" t="str">
        <f t="shared" si="5"/>
        <v/>
      </c>
      <c r="S22" s="691" t="str">
        <f t="shared" si="6"/>
        <v/>
      </c>
      <c r="T22" s="691" t="str">
        <f t="shared" si="7"/>
        <v/>
      </c>
      <c r="U22" s="691" t="str">
        <f t="shared" si="8"/>
        <v/>
      </c>
      <c r="V22" s="690" t="str">
        <f t="shared" si="9"/>
        <v/>
      </c>
    </row>
    <row r="23" spans="1:22" x14ac:dyDescent="0.2">
      <c r="A23" s="10"/>
      <c r="B23" s="10" t="str">
        <f>IF(L!$B$1=2,L!B30,L!C30)</f>
        <v>ОБЯЗАТЕЛЬСТВА И СОБСТВЕННЫЕ СРЕДСТВА</v>
      </c>
      <c r="C23" s="351"/>
      <c r="D23" s="351"/>
      <c r="E23" s="351"/>
      <c r="F23" s="351"/>
      <c r="G23" s="351"/>
      <c r="H23" s="351"/>
      <c r="J23" s="493"/>
      <c r="K23" s="493"/>
      <c r="L23" s="493"/>
      <c r="M23" s="493"/>
      <c r="N23" s="493"/>
      <c r="O23" s="494"/>
      <c r="Q23" s="507"/>
      <c r="R23" s="691" t="str">
        <f t="shared" si="5"/>
        <v/>
      </c>
      <c r="S23" s="691" t="str">
        <f t="shared" si="6"/>
        <v/>
      </c>
      <c r="T23" s="691" t="str">
        <f t="shared" si="7"/>
        <v/>
      </c>
      <c r="U23" s="691" t="str">
        <f t="shared" si="8"/>
        <v/>
      </c>
      <c r="V23" s="690" t="str">
        <f t="shared" si="9"/>
        <v/>
      </c>
    </row>
    <row r="24" spans="1:22" x14ac:dyDescent="0.2">
      <c r="A24" s="4"/>
      <c r="B24" s="10" t="str">
        <f>IF(L!$B$1=2,L!B31,L!C31)</f>
        <v>ОБЯЗАТЕЛЬСТВА</v>
      </c>
      <c r="C24" s="351"/>
      <c r="D24" s="351"/>
      <c r="E24" s="351"/>
      <c r="F24" s="351"/>
      <c r="G24" s="351"/>
      <c r="H24" s="351"/>
      <c r="J24" s="493"/>
      <c r="K24" s="493"/>
      <c r="L24" s="493"/>
      <c r="M24" s="493"/>
      <c r="N24" s="493"/>
      <c r="O24" s="494"/>
      <c r="Q24" s="507"/>
      <c r="R24" s="691" t="str">
        <f t="shared" si="5"/>
        <v/>
      </c>
      <c r="S24" s="691" t="str">
        <f t="shared" si="6"/>
        <v/>
      </c>
      <c r="T24" s="691" t="str">
        <f t="shared" si="7"/>
        <v/>
      </c>
      <c r="U24" s="691" t="str">
        <f t="shared" si="8"/>
        <v/>
      </c>
      <c r="V24" s="690" t="str">
        <f t="shared" si="9"/>
        <v/>
      </c>
    </row>
    <row r="25" spans="1:22" x14ac:dyDescent="0.2">
      <c r="A25" s="4" t="s">
        <v>44</v>
      </c>
      <c r="B25" s="4" t="str">
        <f>IF(L!$B$1=2,L!B32,L!C32)</f>
        <v>Депозиты до востребования</v>
      </c>
      <c r="C25" s="347"/>
      <c r="D25" s="347"/>
      <c r="E25" s="347"/>
      <c r="F25" s="347"/>
      <c r="G25" s="347"/>
      <c r="H25" s="347"/>
      <c r="J25" s="493" t="e">
        <f t="shared" si="4"/>
        <v>#DIV/0!</v>
      </c>
      <c r="K25" s="493" t="e">
        <f t="shared" ref="K25:K46" si="15">D25/D$22</f>
        <v>#DIV/0!</v>
      </c>
      <c r="L25" s="493" t="e">
        <f t="shared" ref="L25:L46" si="16">E25/E$22</f>
        <v>#DIV/0!</v>
      </c>
      <c r="M25" s="493" t="e">
        <f t="shared" ref="M25:M46" si="17">F25/F$22</f>
        <v>#DIV/0!</v>
      </c>
      <c r="N25" s="493" t="e">
        <f t="shared" ref="N25:N46" si="18">G25/G$22</f>
        <v>#DIV/0!</v>
      </c>
      <c r="O25" s="494" t="e">
        <f t="shared" ref="O25:O46" si="19">H25/H$22</f>
        <v>#DIV/0!</v>
      </c>
      <c r="Q25" s="494"/>
      <c r="R25" s="691" t="str">
        <f t="shared" si="5"/>
        <v/>
      </c>
      <c r="S25" s="691" t="str">
        <f t="shared" si="6"/>
        <v/>
      </c>
      <c r="T25" s="691" t="str">
        <f t="shared" si="7"/>
        <v/>
      </c>
      <c r="U25" s="691" t="str">
        <f t="shared" si="8"/>
        <v/>
      </c>
      <c r="V25" s="690" t="str">
        <f t="shared" si="9"/>
        <v/>
      </c>
    </row>
    <row r="26" spans="1:22" x14ac:dyDescent="0.2">
      <c r="A26" s="4" t="s">
        <v>329</v>
      </c>
      <c r="B26" s="4" t="str">
        <f>IF(L!$B$1=2,L!B33,L!C33)</f>
        <v>Краткосрочные депозиты</v>
      </c>
      <c r="C26" s="347"/>
      <c r="D26" s="347"/>
      <c r="E26" s="347"/>
      <c r="F26" s="347"/>
      <c r="G26" s="347"/>
      <c r="H26" s="347"/>
      <c r="J26" s="493" t="e">
        <f t="shared" si="4"/>
        <v>#DIV/0!</v>
      </c>
      <c r="K26" s="493" t="e">
        <f t="shared" si="15"/>
        <v>#DIV/0!</v>
      </c>
      <c r="L26" s="493" t="e">
        <f t="shared" si="16"/>
        <v>#DIV/0!</v>
      </c>
      <c r="M26" s="493" t="e">
        <f t="shared" si="17"/>
        <v>#DIV/0!</v>
      </c>
      <c r="N26" s="493" t="e">
        <f t="shared" si="18"/>
        <v>#DIV/0!</v>
      </c>
      <c r="O26" s="494" t="e">
        <f t="shared" si="19"/>
        <v>#DIV/0!</v>
      </c>
      <c r="Q26" s="494"/>
      <c r="R26" s="691" t="str">
        <f t="shared" si="5"/>
        <v/>
      </c>
      <c r="S26" s="691" t="str">
        <f t="shared" si="6"/>
        <v/>
      </c>
      <c r="T26" s="691" t="str">
        <f t="shared" si="7"/>
        <v/>
      </c>
      <c r="U26" s="691" t="str">
        <f t="shared" si="8"/>
        <v/>
      </c>
      <c r="V26" s="690" t="str">
        <f t="shared" si="9"/>
        <v/>
      </c>
    </row>
    <row r="27" spans="1:22" x14ac:dyDescent="0.2">
      <c r="A27" s="4" t="s">
        <v>330</v>
      </c>
      <c r="B27" s="4" t="str">
        <f>IF(L!$B$1=2,L!B34,L!C34)</f>
        <v xml:space="preserve">Краткосрочные займы </v>
      </c>
      <c r="C27" s="347"/>
      <c r="D27" s="347"/>
      <c r="E27" s="347"/>
      <c r="F27" s="347"/>
      <c r="G27" s="347"/>
      <c r="H27" s="347"/>
      <c r="J27" s="493" t="e">
        <f t="shared" si="4"/>
        <v>#DIV/0!</v>
      </c>
      <c r="K27" s="493" t="e">
        <f t="shared" si="15"/>
        <v>#DIV/0!</v>
      </c>
      <c r="L27" s="493" t="e">
        <f t="shared" si="16"/>
        <v>#DIV/0!</v>
      </c>
      <c r="M27" s="493" t="e">
        <f t="shared" si="17"/>
        <v>#DIV/0!</v>
      </c>
      <c r="N27" s="493" t="e">
        <f t="shared" si="18"/>
        <v>#DIV/0!</v>
      </c>
      <c r="O27" s="494" t="e">
        <f t="shared" si="19"/>
        <v>#DIV/0!</v>
      </c>
      <c r="Q27" s="494"/>
      <c r="R27" s="691" t="str">
        <f t="shared" si="5"/>
        <v/>
      </c>
      <c r="S27" s="691" t="str">
        <f t="shared" si="6"/>
        <v/>
      </c>
      <c r="T27" s="691" t="str">
        <f t="shared" si="7"/>
        <v/>
      </c>
      <c r="U27" s="691" t="str">
        <f t="shared" si="8"/>
        <v/>
      </c>
      <c r="V27" s="690" t="str">
        <f t="shared" si="9"/>
        <v/>
      </c>
    </row>
    <row r="28" spans="1:22" x14ac:dyDescent="0.2">
      <c r="A28" s="4" t="s">
        <v>331</v>
      </c>
      <c r="B28" s="4" t="str">
        <f>IF(L!$B$1=2,L!B35,L!C35)</f>
        <v>Проценты к оплате по фин.обязательствам</v>
      </c>
      <c r="C28" s="347"/>
      <c r="D28" s="347"/>
      <c r="E28" s="347"/>
      <c r="F28" s="347"/>
      <c r="G28" s="347"/>
      <c r="H28" s="347"/>
      <c r="J28" s="493" t="e">
        <f t="shared" si="4"/>
        <v>#DIV/0!</v>
      </c>
      <c r="K28" s="493" t="e">
        <f t="shared" si="15"/>
        <v>#DIV/0!</v>
      </c>
      <c r="L28" s="493" t="e">
        <f t="shared" si="16"/>
        <v>#DIV/0!</v>
      </c>
      <c r="M28" s="493" t="e">
        <f t="shared" si="17"/>
        <v>#DIV/0!</v>
      </c>
      <c r="N28" s="493" t="e">
        <f t="shared" si="18"/>
        <v>#DIV/0!</v>
      </c>
      <c r="O28" s="494" t="e">
        <f t="shared" si="19"/>
        <v>#DIV/0!</v>
      </c>
      <c r="Q28" s="494"/>
      <c r="R28" s="691" t="str">
        <f t="shared" si="5"/>
        <v/>
      </c>
      <c r="S28" s="691" t="str">
        <f t="shared" si="6"/>
        <v/>
      </c>
      <c r="T28" s="691" t="str">
        <f t="shared" si="7"/>
        <v/>
      </c>
      <c r="U28" s="691" t="str">
        <f t="shared" si="8"/>
        <v/>
      </c>
      <c r="V28" s="690" t="str">
        <f t="shared" si="9"/>
        <v/>
      </c>
    </row>
    <row r="29" spans="1:22" x14ac:dyDescent="0.2">
      <c r="A29" s="4" t="s">
        <v>332</v>
      </c>
      <c r="B29" s="4" t="str">
        <f>IF(L!$B$1=2,L!B36,L!C36)</f>
        <v xml:space="preserve">Прочие краткосрочные обязательства </v>
      </c>
      <c r="C29" s="347"/>
      <c r="D29" s="347"/>
      <c r="E29" s="347"/>
      <c r="F29" s="347"/>
      <c r="G29" s="347"/>
      <c r="H29" s="347"/>
      <c r="J29" s="493" t="e">
        <f t="shared" si="4"/>
        <v>#DIV/0!</v>
      </c>
      <c r="K29" s="493" t="e">
        <f t="shared" si="15"/>
        <v>#DIV/0!</v>
      </c>
      <c r="L29" s="493" t="e">
        <f t="shared" si="16"/>
        <v>#DIV/0!</v>
      </c>
      <c r="M29" s="493" t="e">
        <f t="shared" si="17"/>
        <v>#DIV/0!</v>
      </c>
      <c r="N29" s="493" t="e">
        <f t="shared" si="18"/>
        <v>#DIV/0!</v>
      </c>
      <c r="O29" s="494" t="e">
        <f t="shared" si="19"/>
        <v>#DIV/0!</v>
      </c>
      <c r="Q29" s="494"/>
      <c r="R29" s="691" t="str">
        <f t="shared" si="5"/>
        <v/>
      </c>
      <c r="S29" s="691" t="str">
        <f t="shared" si="6"/>
        <v/>
      </c>
      <c r="T29" s="691" t="str">
        <f t="shared" si="7"/>
        <v/>
      </c>
      <c r="U29" s="691" t="str">
        <f t="shared" si="8"/>
        <v/>
      </c>
      <c r="V29" s="690" t="str">
        <f t="shared" si="9"/>
        <v/>
      </c>
    </row>
    <row r="30" spans="1:22" s="8" customFormat="1" ht="22.5" x14ac:dyDescent="0.2">
      <c r="A30" s="10" t="s">
        <v>344</v>
      </c>
      <c r="B30" s="10" t="str">
        <f>IF(L!$B$1=2,L!B37,L!C37)</f>
        <v>Итого текущие обязательства (В16+B17+B18+B19+B20)</v>
      </c>
      <c r="C30" s="349">
        <f t="shared" ref="C30:H30" si="20">C25+C26+C27+C28+C29</f>
        <v>0</v>
      </c>
      <c r="D30" s="349">
        <f t="shared" si="20"/>
        <v>0</v>
      </c>
      <c r="E30" s="349">
        <f t="shared" si="20"/>
        <v>0</v>
      </c>
      <c r="F30" s="349">
        <f t="shared" si="20"/>
        <v>0</v>
      </c>
      <c r="G30" s="349">
        <f t="shared" si="20"/>
        <v>0</v>
      </c>
      <c r="H30" s="349">
        <f t="shared" si="20"/>
        <v>0</v>
      </c>
      <c r="J30" s="493" t="e">
        <f t="shared" si="4"/>
        <v>#DIV/0!</v>
      </c>
      <c r="K30" s="493" t="e">
        <f t="shared" si="15"/>
        <v>#DIV/0!</v>
      </c>
      <c r="L30" s="493" t="e">
        <f t="shared" si="16"/>
        <v>#DIV/0!</v>
      </c>
      <c r="M30" s="493" t="e">
        <f t="shared" si="17"/>
        <v>#DIV/0!</v>
      </c>
      <c r="N30" s="493" t="e">
        <f t="shared" si="18"/>
        <v>#DIV/0!</v>
      </c>
      <c r="O30" s="494" t="e">
        <f t="shared" si="19"/>
        <v>#DIV/0!</v>
      </c>
      <c r="Q30" s="494"/>
      <c r="R30" s="691" t="str">
        <f t="shared" si="5"/>
        <v/>
      </c>
      <c r="S30" s="691" t="str">
        <f t="shared" si="6"/>
        <v/>
      </c>
      <c r="T30" s="691" t="str">
        <f t="shared" si="7"/>
        <v/>
      </c>
      <c r="U30" s="691" t="str">
        <f t="shared" si="8"/>
        <v/>
      </c>
      <c r="V30" s="690" t="str">
        <f t="shared" si="9"/>
        <v/>
      </c>
    </row>
    <row r="31" spans="1:22" x14ac:dyDescent="0.2">
      <c r="A31" s="4" t="s">
        <v>345</v>
      </c>
      <c r="B31" s="4" t="str">
        <f>IF(L!$B$1=2,L!B38,L!C38)</f>
        <v>Долгосрочные депозиты</v>
      </c>
      <c r="C31" s="347"/>
      <c r="D31" s="347"/>
      <c r="E31" s="347"/>
      <c r="F31" s="347"/>
      <c r="G31" s="347"/>
      <c r="H31" s="347"/>
      <c r="J31" s="493" t="e">
        <f t="shared" si="4"/>
        <v>#DIV/0!</v>
      </c>
      <c r="K31" s="493" t="e">
        <f t="shared" si="15"/>
        <v>#DIV/0!</v>
      </c>
      <c r="L31" s="493" t="e">
        <f t="shared" si="16"/>
        <v>#DIV/0!</v>
      </c>
      <c r="M31" s="493" t="e">
        <f t="shared" si="17"/>
        <v>#DIV/0!</v>
      </c>
      <c r="N31" s="493" t="e">
        <f t="shared" si="18"/>
        <v>#DIV/0!</v>
      </c>
      <c r="O31" s="494" t="e">
        <f t="shared" si="19"/>
        <v>#DIV/0!</v>
      </c>
      <c r="Q31" s="494"/>
      <c r="R31" s="691" t="str">
        <f t="shared" si="5"/>
        <v/>
      </c>
      <c r="S31" s="691" t="str">
        <f t="shared" si="6"/>
        <v/>
      </c>
      <c r="T31" s="691" t="str">
        <f t="shared" si="7"/>
        <v/>
      </c>
      <c r="U31" s="691" t="str">
        <f t="shared" si="8"/>
        <v/>
      </c>
      <c r="V31" s="690" t="str">
        <f t="shared" si="9"/>
        <v/>
      </c>
    </row>
    <row r="32" spans="1:22" x14ac:dyDescent="0.2">
      <c r="A32" s="4" t="s">
        <v>348</v>
      </c>
      <c r="B32" s="4" t="str">
        <f>IF(L!$B$1=2,L!B39,L!C39)</f>
        <v>Долгосрочные займы</v>
      </c>
      <c r="C32" s="347"/>
      <c r="D32" s="347"/>
      <c r="E32" s="347"/>
      <c r="F32" s="347"/>
      <c r="G32" s="347"/>
      <c r="H32" s="347"/>
      <c r="J32" s="493" t="e">
        <f t="shared" si="4"/>
        <v>#DIV/0!</v>
      </c>
      <c r="K32" s="493" t="e">
        <f t="shared" si="15"/>
        <v>#DIV/0!</v>
      </c>
      <c r="L32" s="493" t="e">
        <f t="shared" si="16"/>
        <v>#DIV/0!</v>
      </c>
      <c r="M32" s="493" t="e">
        <f t="shared" si="17"/>
        <v>#DIV/0!</v>
      </c>
      <c r="N32" s="493" t="e">
        <f t="shared" si="18"/>
        <v>#DIV/0!</v>
      </c>
      <c r="O32" s="494" t="e">
        <f t="shared" si="19"/>
        <v>#DIV/0!</v>
      </c>
      <c r="Q32" s="494"/>
      <c r="R32" s="691" t="str">
        <f t="shared" si="5"/>
        <v/>
      </c>
      <c r="S32" s="691" t="str">
        <f t="shared" si="6"/>
        <v/>
      </c>
      <c r="T32" s="691" t="str">
        <f t="shared" si="7"/>
        <v/>
      </c>
      <c r="U32" s="691" t="str">
        <f t="shared" si="8"/>
        <v/>
      </c>
      <c r="V32" s="690" t="str">
        <f t="shared" si="9"/>
        <v/>
      </c>
    </row>
    <row r="33" spans="1:22" x14ac:dyDescent="0.2">
      <c r="A33" s="4" t="s">
        <v>349</v>
      </c>
      <c r="B33" s="4" t="str">
        <f>IF(L!$B$1=2,L!B40,L!C40)</f>
        <v xml:space="preserve">Прочие долгосрочные обязательства </v>
      </c>
      <c r="C33" s="347"/>
      <c r="D33" s="347"/>
      <c r="E33" s="347"/>
      <c r="F33" s="347"/>
      <c r="G33" s="347"/>
      <c r="H33" s="347"/>
      <c r="J33" s="493" t="e">
        <f t="shared" si="4"/>
        <v>#DIV/0!</v>
      </c>
      <c r="K33" s="493" t="e">
        <f t="shared" si="15"/>
        <v>#DIV/0!</v>
      </c>
      <c r="L33" s="493" t="e">
        <f t="shared" si="16"/>
        <v>#DIV/0!</v>
      </c>
      <c r="M33" s="493" t="e">
        <f t="shared" si="17"/>
        <v>#DIV/0!</v>
      </c>
      <c r="N33" s="493" t="e">
        <f t="shared" si="18"/>
        <v>#DIV/0!</v>
      </c>
      <c r="O33" s="494" t="e">
        <f t="shared" si="19"/>
        <v>#DIV/0!</v>
      </c>
      <c r="Q33" s="494"/>
      <c r="R33" s="691" t="str">
        <f t="shared" si="5"/>
        <v/>
      </c>
      <c r="S33" s="691" t="str">
        <f t="shared" si="6"/>
        <v/>
      </c>
      <c r="T33" s="691" t="str">
        <f t="shared" si="7"/>
        <v/>
      </c>
      <c r="U33" s="691" t="str">
        <f t="shared" si="8"/>
        <v/>
      </c>
      <c r="V33" s="690" t="str">
        <f t="shared" si="9"/>
        <v/>
      </c>
    </row>
    <row r="34" spans="1:22" s="8" customFormat="1" x14ac:dyDescent="0.2">
      <c r="A34" s="10" t="s">
        <v>350</v>
      </c>
      <c r="B34" s="10" t="str">
        <f>IF(L!$B$1=2,L!B41,L!C41)</f>
        <v>Итого обязательства (B21+B22+B23+B24)</v>
      </c>
      <c r="C34" s="349">
        <f t="shared" ref="C34:H34" si="21">C30+C31+C32+C33</f>
        <v>0</v>
      </c>
      <c r="D34" s="349">
        <f t="shared" si="21"/>
        <v>0</v>
      </c>
      <c r="E34" s="349">
        <f t="shared" si="21"/>
        <v>0</v>
      </c>
      <c r="F34" s="349">
        <f t="shared" si="21"/>
        <v>0</v>
      </c>
      <c r="G34" s="349">
        <f t="shared" si="21"/>
        <v>0</v>
      </c>
      <c r="H34" s="349">
        <f t="shared" si="21"/>
        <v>0</v>
      </c>
      <c r="J34" s="493" t="e">
        <f t="shared" si="4"/>
        <v>#DIV/0!</v>
      </c>
      <c r="K34" s="493" t="e">
        <f t="shared" si="15"/>
        <v>#DIV/0!</v>
      </c>
      <c r="L34" s="493" t="e">
        <f t="shared" si="16"/>
        <v>#DIV/0!</v>
      </c>
      <c r="M34" s="493" t="e">
        <f t="shared" si="17"/>
        <v>#DIV/0!</v>
      </c>
      <c r="N34" s="493" t="e">
        <f t="shared" si="18"/>
        <v>#DIV/0!</v>
      </c>
      <c r="O34" s="494" t="e">
        <f t="shared" si="19"/>
        <v>#DIV/0!</v>
      </c>
      <c r="Q34" s="494"/>
      <c r="R34" s="691" t="str">
        <f t="shared" si="5"/>
        <v/>
      </c>
      <c r="S34" s="691" t="str">
        <f t="shared" si="6"/>
        <v/>
      </c>
      <c r="T34" s="691" t="str">
        <f t="shared" si="7"/>
        <v/>
      </c>
      <c r="U34" s="691" t="str">
        <f t="shared" si="8"/>
        <v/>
      </c>
      <c r="V34" s="690" t="str">
        <f t="shared" si="9"/>
        <v/>
      </c>
    </row>
    <row r="35" spans="1:22" s="8" customFormat="1" x14ac:dyDescent="0.2">
      <c r="A35" s="10"/>
      <c r="B35" s="10" t="str">
        <f>IF(L!$B$1=2,L!B42,L!C42)</f>
        <v>СОБСТВЕННЫЕ СРЕДСТВА</v>
      </c>
      <c r="C35" s="349"/>
      <c r="D35" s="349"/>
      <c r="E35" s="349"/>
      <c r="F35" s="349"/>
      <c r="G35" s="349"/>
      <c r="H35" s="349"/>
      <c r="J35" s="493"/>
      <c r="K35" s="493"/>
      <c r="L35" s="493"/>
      <c r="M35" s="493"/>
      <c r="N35" s="493"/>
      <c r="O35" s="494"/>
      <c r="Q35" s="494"/>
      <c r="R35" s="691" t="str">
        <f t="shared" si="5"/>
        <v/>
      </c>
      <c r="S35" s="691" t="str">
        <f t="shared" si="6"/>
        <v/>
      </c>
      <c r="T35" s="691" t="str">
        <f t="shared" si="7"/>
        <v/>
      </c>
      <c r="U35" s="691" t="str">
        <f t="shared" si="8"/>
        <v/>
      </c>
      <c r="V35" s="690" t="str">
        <f t="shared" si="9"/>
        <v/>
      </c>
    </row>
    <row r="36" spans="1:22" x14ac:dyDescent="0.2">
      <c r="A36" s="4" t="s">
        <v>47</v>
      </c>
      <c r="B36" s="4" t="str">
        <f>IF(L!$B$1=2,L!B43,L!C43)</f>
        <v>Уставный капитал</v>
      </c>
      <c r="C36" s="347"/>
      <c r="D36" s="347"/>
      <c r="E36" s="347"/>
      <c r="F36" s="347"/>
      <c r="G36" s="347"/>
      <c r="H36" s="347"/>
      <c r="J36" s="493" t="e">
        <f t="shared" si="4"/>
        <v>#DIV/0!</v>
      </c>
      <c r="K36" s="493" t="e">
        <f t="shared" si="15"/>
        <v>#DIV/0!</v>
      </c>
      <c r="L36" s="493" t="e">
        <f t="shared" si="16"/>
        <v>#DIV/0!</v>
      </c>
      <c r="M36" s="493" t="e">
        <f t="shared" si="17"/>
        <v>#DIV/0!</v>
      </c>
      <c r="N36" s="493" t="e">
        <f t="shared" si="18"/>
        <v>#DIV/0!</v>
      </c>
      <c r="O36" s="494" t="e">
        <f t="shared" si="19"/>
        <v>#DIV/0!</v>
      </c>
      <c r="Q36" s="494"/>
      <c r="R36" s="691" t="str">
        <f t="shared" si="5"/>
        <v/>
      </c>
      <c r="S36" s="691" t="str">
        <f t="shared" si="6"/>
        <v/>
      </c>
      <c r="T36" s="691" t="str">
        <f t="shared" si="7"/>
        <v/>
      </c>
      <c r="U36" s="691" t="str">
        <f t="shared" si="8"/>
        <v/>
      </c>
      <c r="V36" s="690" t="str">
        <f t="shared" si="9"/>
        <v/>
      </c>
    </row>
    <row r="37" spans="1:22" x14ac:dyDescent="0.2">
      <c r="A37" s="10" t="s">
        <v>351</v>
      </c>
      <c r="B37" s="10" t="str">
        <f>IF(L!$B$1=2,L!B44,L!C44)</f>
        <v>Гранты в собственном капитале:</v>
      </c>
      <c r="C37" s="352">
        <f t="shared" ref="C37:H37" si="22">C38+C39</f>
        <v>0</v>
      </c>
      <c r="D37" s="352">
        <f t="shared" si="22"/>
        <v>0</v>
      </c>
      <c r="E37" s="352">
        <f t="shared" si="22"/>
        <v>0</v>
      </c>
      <c r="F37" s="352">
        <f t="shared" si="22"/>
        <v>0</v>
      </c>
      <c r="G37" s="352">
        <f t="shared" si="22"/>
        <v>0</v>
      </c>
      <c r="H37" s="352">
        <f t="shared" si="22"/>
        <v>0</v>
      </c>
      <c r="J37" s="493" t="e">
        <f t="shared" si="4"/>
        <v>#DIV/0!</v>
      </c>
      <c r="K37" s="493" t="e">
        <f t="shared" si="15"/>
        <v>#DIV/0!</v>
      </c>
      <c r="L37" s="493" t="e">
        <f t="shared" si="16"/>
        <v>#DIV/0!</v>
      </c>
      <c r="M37" s="493" t="e">
        <f t="shared" si="17"/>
        <v>#DIV/0!</v>
      </c>
      <c r="N37" s="493" t="e">
        <f t="shared" si="18"/>
        <v>#DIV/0!</v>
      </c>
      <c r="O37" s="494" t="e">
        <f t="shared" si="19"/>
        <v>#DIV/0!</v>
      </c>
      <c r="Q37" s="494"/>
      <c r="R37" s="691" t="str">
        <f t="shared" si="5"/>
        <v/>
      </c>
      <c r="S37" s="691" t="str">
        <f t="shared" si="6"/>
        <v/>
      </c>
      <c r="T37" s="691" t="str">
        <f t="shared" si="7"/>
        <v/>
      </c>
      <c r="U37" s="691" t="str">
        <f t="shared" si="8"/>
        <v/>
      </c>
      <c r="V37" s="690" t="str">
        <f t="shared" si="9"/>
        <v/>
      </c>
    </row>
    <row r="38" spans="1:22" x14ac:dyDescent="0.2">
      <c r="A38" s="4" t="s">
        <v>352</v>
      </c>
      <c r="B38" s="4" t="str">
        <f>IF(L!$B$1=2,L!B45,L!C45)</f>
        <v>Предыдущие годы</v>
      </c>
      <c r="C38" s="347"/>
      <c r="D38" s="347"/>
      <c r="E38" s="347"/>
      <c r="F38" s="347"/>
      <c r="G38" s="347"/>
      <c r="H38" s="347"/>
      <c r="J38" s="493" t="e">
        <f t="shared" si="4"/>
        <v>#DIV/0!</v>
      </c>
      <c r="K38" s="493" t="e">
        <f t="shared" si="15"/>
        <v>#DIV/0!</v>
      </c>
      <c r="L38" s="493" t="e">
        <f t="shared" si="16"/>
        <v>#DIV/0!</v>
      </c>
      <c r="M38" s="493" t="e">
        <f t="shared" si="17"/>
        <v>#DIV/0!</v>
      </c>
      <c r="N38" s="493" t="e">
        <f t="shared" si="18"/>
        <v>#DIV/0!</v>
      </c>
      <c r="O38" s="494" t="e">
        <f t="shared" si="19"/>
        <v>#DIV/0!</v>
      </c>
      <c r="Q38" s="494"/>
      <c r="R38" s="691" t="str">
        <f t="shared" si="5"/>
        <v/>
      </c>
      <c r="S38" s="691" t="str">
        <f t="shared" si="6"/>
        <v/>
      </c>
      <c r="T38" s="691" t="str">
        <f t="shared" si="7"/>
        <v/>
      </c>
      <c r="U38" s="691" t="str">
        <f t="shared" si="8"/>
        <v/>
      </c>
      <c r="V38" s="690" t="str">
        <f t="shared" si="9"/>
        <v/>
      </c>
    </row>
    <row r="39" spans="1:22" x14ac:dyDescent="0.2">
      <c r="A39" s="4" t="s">
        <v>354</v>
      </c>
      <c r="B39" s="4" t="str">
        <f>IF(L!$B$1=2,L!B46,L!C46)</f>
        <v>Текущего года</v>
      </c>
      <c r="C39" s="347"/>
      <c r="D39" s="347"/>
      <c r="E39" s="347"/>
      <c r="F39" s="347"/>
      <c r="G39" s="347"/>
      <c r="H39" s="347"/>
      <c r="J39" s="493" t="e">
        <f t="shared" si="4"/>
        <v>#DIV/0!</v>
      </c>
      <c r="K39" s="493" t="e">
        <f t="shared" si="15"/>
        <v>#DIV/0!</v>
      </c>
      <c r="L39" s="493" t="e">
        <f t="shared" si="16"/>
        <v>#DIV/0!</v>
      </c>
      <c r="M39" s="493" t="e">
        <f t="shared" si="17"/>
        <v>#DIV/0!</v>
      </c>
      <c r="N39" s="493" t="e">
        <f t="shared" si="18"/>
        <v>#DIV/0!</v>
      </c>
      <c r="O39" s="494" t="e">
        <f t="shared" si="19"/>
        <v>#DIV/0!</v>
      </c>
      <c r="Q39" s="494"/>
      <c r="R39" s="691" t="str">
        <f t="shared" si="5"/>
        <v/>
      </c>
      <c r="S39" s="691" t="str">
        <f t="shared" si="6"/>
        <v/>
      </c>
      <c r="T39" s="691" t="str">
        <f t="shared" si="7"/>
        <v/>
      </c>
      <c r="U39" s="691" t="str">
        <f t="shared" si="8"/>
        <v/>
      </c>
      <c r="V39" s="690" t="str">
        <f t="shared" si="9"/>
        <v/>
      </c>
    </row>
    <row r="40" spans="1:22" x14ac:dyDescent="0.2">
      <c r="A40" s="10" t="s">
        <v>356</v>
      </c>
      <c r="B40" s="10" t="str">
        <f>IF(L!$B$1=2,L!B47,L!C47)</f>
        <v>Нераспред.прибыль итого:</v>
      </c>
      <c r="C40" s="349">
        <f t="shared" ref="C40:H40" si="23">C41+C42</f>
        <v>0</v>
      </c>
      <c r="D40" s="349">
        <f t="shared" si="23"/>
        <v>0</v>
      </c>
      <c r="E40" s="349">
        <f t="shared" si="23"/>
        <v>0</v>
      </c>
      <c r="F40" s="349">
        <f t="shared" si="23"/>
        <v>0</v>
      </c>
      <c r="G40" s="349">
        <f t="shared" si="23"/>
        <v>0</v>
      </c>
      <c r="H40" s="349">
        <f t="shared" si="23"/>
        <v>0</v>
      </c>
      <c r="J40" s="493" t="e">
        <f t="shared" si="4"/>
        <v>#DIV/0!</v>
      </c>
      <c r="K40" s="493" t="e">
        <f t="shared" si="15"/>
        <v>#DIV/0!</v>
      </c>
      <c r="L40" s="493" t="e">
        <f t="shared" si="16"/>
        <v>#DIV/0!</v>
      </c>
      <c r="M40" s="493" t="e">
        <f t="shared" si="17"/>
        <v>#DIV/0!</v>
      </c>
      <c r="N40" s="493" t="e">
        <f t="shared" si="18"/>
        <v>#DIV/0!</v>
      </c>
      <c r="O40" s="494" t="e">
        <f t="shared" si="19"/>
        <v>#DIV/0!</v>
      </c>
      <c r="Q40" s="494"/>
      <c r="R40" s="691" t="str">
        <f t="shared" si="5"/>
        <v/>
      </c>
      <c r="S40" s="691" t="str">
        <f t="shared" si="6"/>
        <v/>
      </c>
      <c r="T40" s="691" t="str">
        <f t="shared" si="7"/>
        <v/>
      </c>
      <c r="U40" s="691" t="str">
        <f t="shared" si="8"/>
        <v/>
      </c>
      <c r="V40" s="690" t="str">
        <f t="shared" si="9"/>
        <v/>
      </c>
    </row>
    <row r="41" spans="1:22" x14ac:dyDescent="0.2">
      <c r="A41" s="4" t="s">
        <v>357</v>
      </c>
      <c r="B41" s="4" t="str">
        <f>IF(L!$B$1=2,L!B48,L!C48)</f>
        <v>Нераспред.прибыль/(убыток) прошлых лет</v>
      </c>
      <c r="C41" s="347"/>
      <c r="D41" s="347"/>
      <c r="E41" s="347"/>
      <c r="F41" s="347"/>
      <c r="G41" s="347"/>
      <c r="H41" s="347"/>
      <c r="J41" s="493" t="e">
        <f t="shared" si="4"/>
        <v>#DIV/0!</v>
      </c>
      <c r="K41" s="493" t="e">
        <f t="shared" si="15"/>
        <v>#DIV/0!</v>
      </c>
      <c r="L41" s="493" t="e">
        <f t="shared" si="16"/>
        <v>#DIV/0!</v>
      </c>
      <c r="M41" s="493" t="e">
        <f t="shared" si="17"/>
        <v>#DIV/0!</v>
      </c>
      <c r="N41" s="493" t="e">
        <f t="shared" si="18"/>
        <v>#DIV/0!</v>
      </c>
      <c r="O41" s="494" t="e">
        <f t="shared" si="19"/>
        <v>#DIV/0!</v>
      </c>
      <c r="Q41" s="494"/>
      <c r="R41" s="691" t="str">
        <f t="shared" si="5"/>
        <v/>
      </c>
      <c r="S41" s="691" t="str">
        <f t="shared" si="6"/>
        <v/>
      </c>
      <c r="T41" s="691" t="str">
        <f t="shared" si="7"/>
        <v/>
      </c>
      <c r="U41" s="691" t="str">
        <f t="shared" si="8"/>
        <v/>
      </c>
      <c r="V41" s="690" t="str">
        <f t="shared" si="9"/>
        <v/>
      </c>
    </row>
    <row r="42" spans="1:22" x14ac:dyDescent="0.2">
      <c r="A42" s="4" t="s">
        <v>50</v>
      </c>
      <c r="B42" s="4" t="str">
        <f>IF(L!$B$1=2,L!B49,L!C49)</f>
        <v>Нераспред.прибыль/(убыток) текущего года</v>
      </c>
      <c r="C42" s="347"/>
      <c r="D42" s="347"/>
      <c r="E42" s="347"/>
      <c r="F42" s="347"/>
      <c r="G42" s="347"/>
      <c r="H42" s="347"/>
      <c r="J42" s="493" t="e">
        <f t="shared" si="4"/>
        <v>#DIV/0!</v>
      </c>
      <c r="K42" s="493" t="e">
        <f t="shared" si="15"/>
        <v>#DIV/0!</v>
      </c>
      <c r="L42" s="493" t="e">
        <f t="shared" si="16"/>
        <v>#DIV/0!</v>
      </c>
      <c r="M42" s="493" t="e">
        <f t="shared" si="17"/>
        <v>#DIV/0!</v>
      </c>
      <c r="N42" s="493" t="e">
        <f t="shared" si="18"/>
        <v>#DIV/0!</v>
      </c>
      <c r="O42" s="494" t="e">
        <f t="shared" si="19"/>
        <v>#DIV/0!</v>
      </c>
      <c r="Q42" s="494"/>
      <c r="R42" s="691" t="str">
        <f t="shared" si="5"/>
        <v/>
      </c>
      <c r="S42" s="691" t="str">
        <f t="shared" si="6"/>
        <v/>
      </c>
      <c r="T42" s="691" t="str">
        <f t="shared" si="7"/>
        <v/>
      </c>
      <c r="U42" s="691" t="str">
        <f t="shared" si="8"/>
        <v/>
      </c>
      <c r="V42" s="690" t="str">
        <f t="shared" si="9"/>
        <v/>
      </c>
    </row>
    <row r="43" spans="1:22" x14ac:dyDescent="0.2">
      <c r="A43" s="4" t="s">
        <v>187</v>
      </c>
      <c r="B43" s="4" t="str">
        <f>IF(L!$B$1=2,L!B50,L!C50)</f>
        <v xml:space="preserve">Резервы </v>
      </c>
      <c r="C43" s="347"/>
      <c r="D43" s="347"/>
      <c r="E43" s="347"/>
      <c r="F43" s="347"/>
      <c r="G43" s="347"/>
      <c r="H43" s="347"/>
      <c r="J43" s="493" t="e">
        <f t="shared" si="4"/>
        <v>#DIV/0!</v>
      </c>
      <c r="K43" s="493" t="e">
        <f t="shared" si="15"/>
        <v>#DIV/0!</v>
      </c>
      <c r="L43" s="493" t="e">
        <f t="shared" si="16"/>
        <v>#DIV/0!</v>
      </c>
      <c r="M43" s="493" t="e">
        <f t="shared" si="17"/>
        <v>#DIV/0!</v>
      </c>
      <c r="N43" s="493" t="e">
        <f t="shared" si="18"/>
        <v>#DIV/0!</v>
      </c>
      <c r="O43" s="494" t="e">
        <f t="shared" si="19"/>
        <v>#DIV/0!</v>
      </c>
      <c r="Q43" s="494"/>
      <c r="R43" s="691" t="str">
        <f t="shared" si="5"/>
        <v/>
      </c>
      <c r="S43" s="691" t="str">
        <f t="shared" si="6"/>
        <v/>
      </c>
      <c r="T43" s="691" t="str">
        <f t="shared" si="7"/>
        <v/>
      </c>
      <c r="U43" s="691" t="str">
        <f t="shared" si="8"/>
        <v/>
      </c>
      <c r="V43" s="690" t="str">
        <f t="shared" si="9"/>
        <v/>
      </c>
    </row>
    <row r="44" spans="1:22" x14ac:dyDescent="0.2">
      <c r="A44" s="4" t="s">
        <v>188</v>
      </c>
      <c r="B44" s="4" t="str">
        <f>IF(L!$B$1=2,L!B51,L!C51)</f>
        <v>Прочие капитальные счета</v>
      </c>
      <c r="C44" s="347"/>
      <c r="D44" s="347"/>
      <c r="E44" s="347"/>
      <c r="F44" s="347"/>
      <c r="G44" s="347"/>
      <c r="H44" s="347"/>
      <c r="J44" s="493" t="e">
        <f t="shared" si="4"/>
        <v>#DIV/0!</v>
      </c>
      <c r="K44" s="493" t="e">
        <f t="shared" si="15"/>
        <v>#DIV/0!</v>
      </c>
      <c r="L44" s="493" t="e">
        <f t="shared" si="16"/>
        <v>#DIV/0!</v>
      </c>
      <c r="M44" s="493" t="e">
        <f t="shared" si="17"/>
        <v>#DIV/0!</v>
      </c>
      <c r="N44" s="493" t="e">
        <f t="shared" si="18"/>
        <v>#DIV/0!</v>
      </c>
      <c r="O44" s="494" t="e">
        <f t="shared" si="19"/>
        <v>#DIV/0!</v>
      </c>
      <c r="Q44" s="494"/>
      <c r="R44" s="691" t="str">
        <f t="shared" si="5"/>
        <v/>
      </c>
      <c r="S44" s="691" t="str">
        <f t="shared" si="6"/>
        <v/>
      </c>
      <c r="T44" s="691" t="str">
        <f t="shared" si="7"/>
        <v/>
      </c>
      <c r="U44" s="691" t="str">
        <f t="shared" si="8"/>
        <v/>
      </c>
      <c r="V44" s="690" t="str">
        <f t="shared" si="9"/>
        <v/>
      </c>
    </row>
    <row r="45" spans="1:22" s="8" customFormat="1" ht="22.5" x14ac:dyDescent="0.2">
      <c r="A45" s="10" t="s">
        <v>189</v>
      </c>
      <c r="B45" s="10" t="str">
        <f>IF(L!$B$1=2,L!B52,L!C52)</f>
        <v>Итого собственные средства (B26+B27+В30+В33+B34)</v>
      </c>
      <c r="C45" s="19">
        <f t="shared" ref="C45:H45" si="24">C36+C37+C40+C43+C44</f>
        <v>0</v>
      </c>
      <c r="D45" s="19">
        <f t="shared" si="24"/>
        <v>0</v>
      </c>
      <c r="E45" s="19">
        <f t="shared" si="24"/>
        <v>0</v>
      </c>
      <c r="F45" s="19">
        <f t="shared" si="24"/>
        <v>0</v>
      </c>
      <c r="G45" s="19">
        <f t="shared" si="24"/>
        <v>0</v>
      </c>
      <c r="H45" s="19">
        <f t="shared" si="24"/>
        <v>0</v>
      </c>
      <c r="J45" s="493" t="e">
        <f t="shared" si="4"/>
        <v>#DIV/0!</v>
      </c>
      <c r="K45" s="493" t="e">
        <f t="shared" si="15"/>
        <v>#DIV/0!</v>
      </c>
      <c r="L45" s="493" t="e">
        <f t="shared" si="16"/>
        <v>#DIV/0!</v>
      </c>
      <c r="M45" s="493" t="e">
        <f t="shared" si="17"/>
        <v>#DIV/0!</v>
      </c>
      <c r="N45" s="493" t="e">
        <f t="shared" si="18"/>
        <v>#DIV/0!</v>
      </c>
      <c r="O45" s="494" t="e">
        <f t="shared" si="19"/>
        <v>#DIV/0!</v>
      </c>
      <c r="Q45" s="494"/>
      <c r="R45" s="691" t="str">
        <f t="shared" si="5"/>
        <v/>
      </c>
      <c r="S45" s="691" t="str">
        <f t="shared" si="6"/>
        <v/>
      </c>
      <c r="T45" s="691" t="str">
        <f t="shared" si="7"/>
        <v/>
      </c>
      <c r="U45" s="691" t="str">
        <f t="shared" si="8"/>
        <v/>
      </c>
      <c r="V45" s="690" t="str">
        <f t="shared" si="9"/>
        <v/>
      </c>
    </row>
    <row r="46" spans="1:22" s="50" customFormat="1" ht="21" x14ac:dyDescent="0.15">
      <c r="A46" s="48" t="s">
        <v>1149</v>
      </c>
      <c r="B46" s="48" t="str">
        <f>IF(L!$B$1=2,L!B53,L!C53)</f>
        <v>ИТОГО ОБЯЗАТЕЛЬСТВА И СОБСТВЕННЫЕ СРЕДСТВА (B25+B35)</v>
      </c>
      <c r="C46" s="49">
        <f t="shared" ref="C46:H46" si="25">C34+C45</f>
        <v>0</v>
      </c>
      <c r="D46" s="49">
        <f t="shared" si="25"/>
        <v>0</v>
      </c>
      <c r="E46" s="49">
        <f t="shared" si="25"/>
        <v>0</v>
      </c>
      <c r="F46" s="49">
        <f t="shared" si="25"/>
        <v>0</v>
      </c>
      <c r="G46" s="49">
        <f t="shared" si="25"/>
        <v>0</v>
      </c>
      <c r="H46" s="49">
        <f t="shared" si="25"/>
        <v>0</v>
      </c>
      <c r="J46" s="493" t="e">
        <f t="shared" si="4"/>
        <v>#DIV/0!</v>
      </c>
      <c r="K46" s="493" t="e">
        <f t="shared" si="15"/>
        <v>#DIV/0!</v>
      </c>
      <c r="L46" s="493" t="e">
        <f t="shared" si="16"/>
        <v>#DIV/0!</v>
      </c>
      <c r="M46" s="493" t="e">
        <f t="shared" si="17"/>
        <v>#DIV/0!</v>
      </c>
      <c r="N46" s="493" t="e">
        <f t="shared" si="18"/>
        <v>#DIV/0!</v>
      </c>
      <c r="O46" s="494" t="e">
        <f t="shared" si="19"/>
        <v>#DIV/0!</v>
      </c>
      <c r="Q46" s="506"/>
      <c r="R46" s="691" t="str">
        <f t="shared" si="5"/>
        <v/>
      </c>
      <c r="S46" s="691" t="str">
        <f t="shared" si="6"/>
        <v/>
      </c>
      <c r="T46" s="691" t="str">
        <f t="shared" si="7"/>
        <v/>
      </c>
      <c r="U46" s="691" t="str">
        <f t="shared" si="8"/>
        <v/>
      </c>
      <c r="V46" s="690" t="str">
        <f t="shared" si="9"/>
        <v/>
      </c>
    </row>
    <row r="47" spans="1:22" s="8" customFormat="1" ht="12" thickBot="1" x14ac:dyDescent="0.25">
      <c r="A47" s="43"/>
      <c r="B47" s="18" t="str">
        <f>IF(L!$B$1=2,L!B54,L!C54)</f>
        <v>Разница (B15-B36)</v>
      </c>
      <c r="C47" s="44">
        <f t="shared" ref="C47:H47" si="26">C22-C46</f>
        <v>0</v>
      </c>
      <c r="D47" s="44">
        <f t="shared" si="26"/>
        <v>0</v>
      </c>
      <c r="E47" s="44">
        <f t="shared" si="26"/>
        <v>0</v>
      </c>
      <c r="F47" s="44">
        <f t="shared" si="26"/>
        <v>0</v>
      </c>
      <c r="G47" s="44">
        <f t="shared" si="26"/>
        <v>0</v>
      </c>
      <c r="H47" s="44">
        <f t="shared" si="26"/>
        <v>0</v>
      </c>
      <c r="J47" s="508"/>
      <c r="K47" s="508"/>
      <c r="L47" s="508"/>
      <c r="M47" s="508"/>
      <c r="N47" s="508"/>
      <c r="O47" s="508"/>
      <c r="Q47" s="508"/>
      <c r="R47" s="508"/>
      <c r="S47" s="508"/>
      <c r="T47" s="508"/>
      <c r="U47" s="508"/>
      <c r="V47" s="508"/>
    </row>
    <row r="48" spans="1:22" x14ac:dyDescent="0.2">
      <c r="C48" s="13"/>
      <c r="D48" s="13"/>
      <c r="E48" s="13"/>
      <c r="F48" s="13"/>
      <c r="G48" s="13"/>
      <c r="H48" s="13"/>
    </row>
    <row r="49" spans="2:8" x14ac:dyDescent="0.2">
      <c r="B49" s="6"/>
      <c r="C49" s="6"/>
      <c r="D49" s="59"/>
      <c r="E49" s="59"/>
      <c r="F49" s="59"/>
      <c r="G49" s="59"/>
      <c r="H49" s="59"/>
    </row>
    <row r="50" spans="2:8" x14ac:dyDescent="0.2">
      <c r="D50" s="358"/>
      <c r="E50" s="358"/>
      <c r="F50" s="358"/>
      <c r="G50" s="358"/>
      <c r="H50" s="358"/>
    </row>
    <row r="51" spans="2:8" x14ac:dyDescent="0.2">
      <c r="B51" s="237" t="str">
        <f>IF(L!$B$1=2,L!D6,L!E6)</f>
        <v>Руководитель компании:</v>
      </c>
      <c r="C51" s="946" t="s">
        <v>851</v>
      </c>
      <c r="D51" s="946"/>
      <c r="E51" s="946"/>
      <c r="G51" s="1" t="s">
        <v>120</v>
      </c>
    </row>
    <row r="52" spans="2:8" x14ac:dyDescent="0.2">
      <c r="C52" s="945" t="str">
        <f>IF(L!$B$1=2,L!D11,L!E11)</f>
        <v>Ф.И.О.</v>
      </c>
      <c r="D52" s="945"/>
      <c r="E52" s="945"/>
      <c r="G52" s="317" t="str">
        <f>IF(L!$B$1=2,L!D12,L!E12)</f>
        <v>Подпись/печать</v>
      </c>
    </row>
    <row r="56" spans="2:8" x14ac:dyDescent="0.2">
      <c r="B56" s="237" t="str">
        <f>IF(L!$B$1=2,L!D7,L!E7)</f>
        <v>Главный бухгалтер:</v>
      </c>
      <c r="C56" s="946" t="s">
        <v>851</v>
      </c>
      <c r="D56" s="946"/>
      <c r="E56" s="946"/>
      <c r="G56" s="1" t="s">
        <v>120</v>
      </c>
    </row>
    <row r="57" spans="2:8" x14ac:dyDescent="0.2">
      <c r="C57" s="945" t="str">
        <f>IF(L!$B$1=2,L!D11,L!E11)</f>
        <v>Ф.И.О.</v>
      </c>
      <c r="D57" s="945"/>
      <c r="E57" s="945"/>
      <c r="G57" s="317" t="str">
        <f>IF(L!$B$1=2,L!D13,L!E13)</f>
        <v>Подпись</v>
      </c>
    </row>
  </sheetData>
  <sheetProtection password="8FDE" sheet="1" objects="1" scenarios="1" formatColumns="0" formatRows="0"/>
  <mergeCells count="8">
    <mergeCell ref="B2:B3"/>
    <mergeCell ref="C1:C3"/>
    <mergeCell ref="J7:O7"/>
    <mergeCell ref="Q7:V7"/>
    <mergeCell ref="C52:E52"/>
    <mergeCell ref="C57:E57"/>
    <mergeCell ref="C51:E51"/>
    <mergeCell ref="C56:E56"/>
  </mergeCells>
  <phoneticPr fontId="9" type="noConversion"/>
  <dataValidations xWindow="427" yWindow="281" count="1">
    <dataValidation allowBlank="1" showInputMessage="1" showErrorMessage="1" sqref="C18:H19"/>
  </dataValidations>
  <pageMargins left="0.22" right="0.17" top="0.18" bottom="0.26" header="0.19" footer="0.23"/>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93" r:id="rId4" name="Drop Down 65">
              <controlPr defaultSize="0" print="0" autoLine="0" autoPict="0">
                <anchor moveWithCells="1">
                  <from>
                    <xdr:col>1</xdr:col>
                    <xdr:colOff>1876425</xdr:colOff>
                    <xdr:row>1</xdr:row>
                    <xdr:rowOff>28575</xdr:rowOff>
                  </from>
                  <to>
                    <xdr:col>2</xdr:col>
                    <xdr:colOff>9525</xdr:colOff>
                    <xdr:row>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AF46"/>
  <sheetViews>
    <sheetView showGridLines="0" zoomScaleNormal="100" workbookViewId="0">
      <selection activeCell="X12" sqref="X12"/>
    </sheetView>
  </sheetViews>
  <sheetFormatPr defaultRowHeight="11.25" outlineLevelCol="1" x14ac:dyDescent="0.2"/>
  <cols>
    <col min="1" max="1" width="4.28515625" style="6" bestFit="1" customWidth="1"/>
    <col min="2" max="2" width="39.85546875" style="6" bestFit="1" customWidth="1"/>
    <col min="3" max="6" width="14.140625" style="6" bestFit="1" customWidth="1"/>
    <col min="7" max="7" width="13.85546875" style="6" customWidth="1"/>
    <col min="8" max="8" width="14.28515625" style="6" customWidth="1"/>
    <col min="9" max="9" width="4" style="6" customWidth="1"/>
    <col min="10" max="15" width="8.7109375" style="6" hidden="1" customWidth="1" outlineLevel="1"/>
    <col min="16" max="16" width="3.140625" style="6" customWidth="1" collapsed="1"/>
    <col min="17" max="22" width="8.7109375" style="6" hidden="1" customWidth="1" outlineLevel="1"/>
    <col min="23" max="23" width="9.140625" style="6" collapsed="1"/>
    <col min="24" max="16384" width="9.140625" style="6"/>
  </cols>
  <sheetData>
    <row r="1" spans="1:32" x14ac:dyDescent="0.2">
      <c r="B1" s="30" t="str">
        <f>IF(Заявка!B15&gt;0,Заявка!B15,"")</f>
        <v/>
      </c>
    </row>
    <row r="2" spans="1:32" x14ac:dyDescent="0.2">
      <c r="B2" s="950" t="str">
        <f>IF(L!$B$55=2,L!B66,L!C66)</f>
        <v>ОТЧЕТ О ПРИБЫЛЯХ И УБЫТКАХ</v>
      </c>
      <c r="G2" s="59"/>
    </row>
    <row r="3" spans="1:32" x14ac:dyDescent="0.2">
      <c r="B3" s="950"/>
    </row>
    <row r="4" spans="1:32" s="1" customFormat="1" x14ac:dyDescent="0.2">
      <c r="B4" s="8" t="str">
        <f>IF(L!$B$55=2,L!B8,L!C8)</f>
        <v>Введите пожалуйста данные прошедшие внешний аудит</v>
      </c>
      <c r="C4" s="329"/>
      <c r="D4" s="329"/>
      <c r="E4" s="329"/>
      <c r="F4" s="329"/>
    </row>
    <row r="5" spans="1:32" s="1" customFormat="1" ht="12" thickBot="1" x14ac:dyDescent="0.25"/>
    <row r="6" spans="1:32" s="1" customFormat="1" ht="12" thickBot="1" x14ac:dyDescent="0.25">
      <c r="A6" s="53"/>
      <c r="B6" s="40" t="str">
        <f>IF(L!$B$55=2,L!B13,L!C13)</f>
        <v>ОТЧЕТНЫЙ ПЕРИОД :</v>
      </c>
      <c r="C6" s="330" t="str">
        <f>Баланс!C6</f>
        <v/>
      </c>
      <c r="D6" s="320" t="str">
        <f>Баланс!D6</f>
        <v/>
      </c>
      <c r="E6" s="320" t="str">
        <f>Баланс!E6</f>
        <v/>
      </c>
      <c r="F6" s="320" t="str">
        <f>Баланс!F6</f>
        <v/>
      </c>
      <c r="G6" s="320" t="str">
        <f>Баланс!G6</f>
        <v/>
      </c>
      <c r="H6" s="331">
        <f>Баланс!H6</f>
        <v>0</v>
      </c>
      <c r="J6" s="489" t="str">
        <f>Баланс!J6</f>
        <v/>
      </c>
      <c r="K6" s="490" t="str">
        <f>Баланс!K6</f>
        <v/>
      </c>
      <c r="L6" s="490" t="str">
        <f>Баланс!L6</f>
        <v/>
      </c>
      <c r="M6" s="490" t="str">
        <f>Баланс!M6</f>
        <v/>
      </c>
      <c r="N6" s="490" t="str">
        <f>Баланс!N6</f>
        <v/>
      </c>
      <c r="O6" s="491">
        <f>Баланс!O6</f>
        <v>0</v>
      </c>
      <c r="Q6" s="489" t="str">
        <f>Баланс!C6</f>
        <v/>
      </c>
      <c r="R6" s="489" t="str">
        <f>Баланс!D6</f>
        <v/>
      </c>
      <c r="S6" s="489" t="str">
        <f>Баланс!E6</f>
        <v/>
      </c>
      <c r="T6" s="489" t="str">
        <f>Баланс!F6</f>
        <v/>
      </c>
      <c r="U6" s="489" t="str">
        <f>Баланс!G6</f>
        <v/>
      </c>
      <c r="V6" s="503">
        <f>Баланс!H6</f>
        <v>0</v>
      </c>
    </row>
    <row r="7" spans="1:32" s="1" customFormat="1" ht="33.75" x14ac:dyDescent="0.2">
      <c r="A7" s="52"/>
      <c r="B7" s="14" t="str">
        <f>IF(L!$B$55=2,L!B69,L!C69)</f>
        <v>ФИНАНСОВЫЙ ДОХОД</v>
      </c>
      <c r="C7" s="58" t="str">
        <f>IF(L!$B$55=2,L!B5,L!C5)</f>
        <v>В национальной валюте</v>
      </c>
      <c r="D7" s="58" t="str">
        <f>IF(L!$B$55=2,L!B5,L!C5)</f>
        <v>В национальной валюте</v>
      </c>
      <c r="E7" s="58" t="str">
        <f>IF(L!$B$55=2,L!B5,L!C5)</f>
        <v>В национальной валюте</v>
      </c>
      <c r="F7" s="58" t="str">
        <f>IF(L!$B$55=2,L!B5,L!C5)</f>
        <v>В национальной валюте</v>
      </c>
      <c r="G7" s="58" t="str">
        <f>IF(L!$B$55=2,L!B5,L!C5)</f>
        <v>В национальной валюте</v>
      </c>
      <c r="H7" s="42" t="str">
        <f>IF(L!$B$55=2,L!B5,L!C5)</f>
        <v>В национальной валюте</v>
      </c>
      <c r="J7" s="942" t="str">
        <f>IF(L!$B$55=2,L!B67,L!C67)</f>
        <v>Вертикальный анализ</v>
      </c>
      <c r="K7" s="943"/>
      <c r="L7" s="943"/>
      <c r="M7" s="943"/>
      <c r="N7" s="943"/>
      <c r="O7" s="944"/>
      <c r="Q7" s="942" t="str">
        <f>IF(L!$B$55=2,L!B68,L!C68)</f>
        <v>Горизонтальный анализ</v>
      </c>
      <c r="R7" s="943"/>
      <c r="S7" s="943"/>
      <c r="T7" s="943"/>
      <c r="U7" s="943"/>
      <c r="V7" s="944"/>
    </row>
    <row r="8" spans="1:32" s="1" customFormat="1" x14ac:dyDescent="0.2">
      <c r="A8" s="7" t="s">
        <v>361</v>
      </c>
      <c r="B8" s="55" t="str">
        <f>IF(L!$B$55=2,L!B70,L!C70)</f>
        <v>Проценты по займам</v>
      </c>
      <c r="C8" s="356"/>
      <c r="D8" s="355"/>
      <c r="E8" s="355"/>
      <c r="F8" s="355"/>
      <c r="G8" s="355"/>
      <c r="H8" s="347"/>
      <c r="J8" s="700"/>
      <c r="K8" s="701" t="str">
        <f>IF(D8=0,"",(D8*(12/MONTH(K$6)))/((Баланс!C$22+Баланс!D$22)/2))</f>
        <v/>
      </c>
      <c r="L8" s="701" t="str">
        <f>IF(E8=0,"",(E8*(12/MONTH(L$6)))/((Баланс!D$22+Баланс!E$22)/2))</f>
        <v/>
      </c>
      <c r="M8" s="701" t="str">
        <f>IF(F8=0,"",(F8*(12/MONTH(M$6)))/((Баланс!E$22+Баланс!F$22)/2))</f>
        <v/>
      </c>
      <c r="N8" s="701" t="str">
        <f>IF(G8=0,"",(G8*(12/MONTH(N$6)))/((Баланс!F$22+Баланс!G$22)/2))</f>
        <v/>
      </c>
      <c r="O8" s="702" t="str">
        <f>IF(H8=0,"",(H8*(12/MONTH(O$6)))/((Баланс!G$22+Баланс!H$22)/2))</f>
        <v/>
      </c>
      <c r="Q8" s="700"/>
      <c r="R8" s="691" t="str">
        <f>IF(D8=0,"",((D8*(12/MONTH(R$6)))/(C8*(12/MONTH(Q$6))))-1)</f>
        <v/>
      </c>
      <c r="S8" s="691" t="str">
        <f t="shared" ref="S8:V23" si="0">IF(E8=0,"",((E8*(12/MONTH(S$6)))/(D8*(12/MONTH(R$6))))-1)</f>
        <v/>
      </c>
      <c r="T8" s="691" t="str">
        <f t="shared" si="0"/>
        <v/>
      </c>
      <c r="U8" s="691" t="str">
        <f t="shared" si="0"/>
        <v/>
      </c>
      <c r="V8" s="690" t="str">
        <f t="shared" si="0"/>
        <v/>
      </c>
    </row>
    <row r="9" spans="1:32" s="1" customFormat="1" x14ac:dyDescent="0.2">
      <c r="A9" s="7" t="s">
        <v>364</v>
      </c>
      <c r="B9" s="55" t="str">
        <f>IF(L!$B$55=2,L!B71,L!C71)</f>
        <v>Взносы по займам</v>
      </c>
      <c r="C9" s="355"/>
      <c r="D9" s="355"/>
      <c r="E9" s="355"/>
      <c r="F9" s="355"/>
      <c r="G9" s="355"/>
      <c r="H9" s="347"/>
      <c r="J9" s="495"/>
      <c r="K9" s="692" t="str">
        <f>IF(D9=0,"",(D9*(12/MONTH(K$6)))/((Баланс!C$22+Баланс!D$22)/2))</f>
        <v/>
      </c>
      <c r="L9" s="692" t="str">
        <f>IF(E9=0,"",(E9*(12/MONTH(L$6)))/((Баланс!D$22+Баланс!E$22)/2))</f>
        <v/>
      </c>
      <c r="M9" s="692" t="str">
        <f>IF(F9=0,"",(F9*(12/MONTH(M$6)))/((Баланс!E$22+Баланс!F$22)/2))</f>
        <v/>
      </c>
      <c r="N9" s="692" t="str">
        <f>IF(G9=0,"",(G9*(12/MONTH(N$6)))/((Баланс!F$22+Баланс!G$22)/2))</f>
        <v/>
      </c>
      <c r="O9" s="694" t="str">
        <f>IF(H9=0,"",(H9*(12/MONTH(O$6)))/((Баланс!G$22+Баланс!H$22)/2))</f>
        <v/>
      </c>
      <c r="Q9" s="495"/>
      <c r="R9" s="493" t="str">
        <f t="shared" ref="R9:R36" si="1">IF(D9=0,"",((D9*(12/MONTH(R$6)))/(C9*(12/MONTH(Q$6))))-1)</f>
        <v/>
      </c>
      <c r="S9" s="493" t="str">
        <f t="shared" si="0"/>
        <v/>
      </c>
      <c r="T9" s="493" t="str">
        <f t="shared" si="0"/>
        <v/>
      </c>
      <c r="U9" s="493" t="str">
        <f t="shared" si="0"/>
        <v/>
      </c>
      <c r="V9" s="494" t="str">
        <f t="shared" si="0"/>
        <v/>
      </c>
    </row>
    <row r="10" spans="1:32" s="1" customFormat="1" x14ac:dyDescent="0.2">
      <c r="A10" s="7" t="s">
        <v>367</v>
      </c>
      <c r="B10" s="55" t="str">
        <f>IF(L!$B$55=2,L!B72,L!C72)</f>
        <v>Проценты по инвестициям</v>
      </c>
      <c r="C10" s="92"/>
      <c r="D10" s="355"/>
      <c r="E10" s="355"/>
      <c r="F10" s="355"/>
      <c r="G10" s="92"/>
      <c r="H10" s="91"/>
      <c r="J10" s="496"/>
      <c r="K10" s="692" t="str">
        <f>IF(D10=0,"",(D10*(12/MONTH(K$6)))/((Баланс!C$22+Баланс!D$22)/2))</f>
        <v/>
      </c>
      <c r="L10" s="692" t="str">
        <f>IF(E10=0,"",(E10*(12/MONTH(L$6)))/((Баланс!D$22+Баланс!E$22)/2))</f>
        <v/>
      </c>
      <c r="M10" s="692" t="str">
        <f>IF(F10=0,"",(F10*(12/MONTH(M$6)))/((Баланс!E$22+Баланс!F$22)/2))</f>
        <v/>
      </c>
      <c r="N10" s="692" t="str">
        <f>IF(G10=0,"",(G10*(12/MONTH(N$6)))/((Баланс!F$22+Баланс!G$22)/2))</f>
        <v/>
      </c>
      <c r="O10" s="694" t="str">
        <f>IF(H10=0,"",(H10*(12/MONTH(O$6)))/((Баланс!G$22+Баланс!H$22)/2))</f>
        <v/>
      </c>
      <c r="Q10" s="496"/>
      <c r="R10" s="493" t="str">
        <f t="shared" si="1"/>
        <v/>
      </c>
      <c r="S10" s="493" t="str">
        <f t="shared" si="0"/>
        <v/>
      </c>
      <c r="T10" s="493" t="str">
        <f t="shared" si="0"/>
        <v/>
      </c>
      <c r="U10" s="493" t="str">
        <f t="shared" si="0"/>
        <v/>
      </c>
      <c r="V10" s="494" t="str">
        <f t="shared" si="0"/>
        <v/>
      </c>
    </row>
    <row r="11" spans="1:32" s="1" customFormat="1" x14ac:dyDescent="0.2">
      <c r="A11" s="7" t="s">
        <v>370</v>
      </c>
      <c r="B11" s="55" t="str">
        <f>IF(L!$B$55=2,L!B73,L!C73)</f>
        <v xml:space="preserve">Прочие фин. доходы </v>
      </c>
      <c r="C11" s="355"/>
      <c r="D11" s="355"/>
      <c r="E11" s="355"/>
      <c r="F11" s="355"/>
      <c r="G11" s="92"/>
      <c r="H11" s="91"/>
      <c r="J11" s="496"/>
      <c r="K11" s="692" t="str">
        <f>IF(D11=0,"",(D11*(12/MONTH(K$6)))/((Баланс!C$22+Баланс!D$22)/2))</f>
        <v/>
      </c>
      <c r="L11" s="692" t="str">
        <f>IF(E11=0,"",(E11*(12/MONTH(L$6)))/((Баланс!D$22+Баланс!E$22)/2))</f>
        <v/>
      </c>
      <c r="M11" s="692" t="str">
        <f>IF(F11=0,"",(F11*(12/MONTH(M$6)))/((Баланс!E$22+Баланс!F$22)/2))</f>
        <v/>
      </c>
      <c r="N11" s="692" t="str">
        <f>IF(G11=0,"",(G11*(12/MONTH(N$6)))/((Баланс!F$22+Баланс!G$22)/2))</f>
        <v/>
      </c>
      <c r="O11" s="694" t="str">
        <f>IF(H11=0,"",(H11*(12/MONTH(O$6)))/((Баланс!G$22+Баланс!H$22)/2))</f>
        <v/>
      </c>
      <c r="Q11" s="496"/>
      <c r="R11" s="493" t="str">
        <f t="shared" si="1"/>
        <v/>
      </c>
      <c r="S11" s="493" t="str">
        <f t="shared" si="0"/>
        <v/>
      </c>
      <c r="T11" s="493" t="str">
        <f t="shared" si="0"/>
        <v/>
      </c>
      <c r="U11" s="493" t="str">
        <f t="shared" si="0"/>
        <v/>
      </c>
      <c r="V11" s="494" t="str">
        <f t="shared" si="0"/>
        <v/>
      </c>
    </row>
    <row r="12" spans="1:32" s="8" customFormat="1" x14ac:dyDescent="0.2">
      <c r="A12" s="9" t="s">
        <v>371</v>
      </c>
      <c r="B12" s="14" t="str">
        <f>IF(L!$B$55=2,L!B74,L!C74)</f>
        <v>Итого финансовый доход (I1+I2+I3+I4)</v>
      </c>
      <c r="C12" s="31">
        <f t="shared" ref="C12:H12" si="2">C8+C9+C10+C11</f>
        <v>0</v>
      </c>
      <c r="D12" s="31">
        <f t="shared" si="2"/>
        <v>0</v>
      </c>
      <c r="E12" s="31">
        <f t="shared" si="2"/>
        <v>0</v>
      </c>
      <c r="F12" s="31">
        <f t="shared" si="2"/>
        <v>0</v>
      </c>
      <c r="G12" s="31">
        <f t="shared" si="2"/>
        <v>0</v>
      </c>
      <c r="H12" s="19">
        <f t="shared" si="2"/>
        <v>0</v>
      </c>
      <c r="J12" s="354"/>
      <c r="K12" s="693" t="str">
        <f>IF(D12=0,"",(D12*(12/MONTH(K$6)))/((Баланс!C$22+Баланс!D$22)/2))</f>
        <v/>
      </c>
      <c r="L12" s="693" t="str">
        <f>IF(E12=0,"",(E12*(12/MONTH(L$6)))/((Баланс!D$22+Баланс!E$22)/2))</f>
        <v/>
      </c>
      <c r="M12" s="693" t="str">
        <f>IF(F12=0,"",(F12*(12/MONTH(M$6)))/((Баланс!E$22+Баланс!F$22)/2))</f>
        <v/>
      </c>
      <c r="N12" s="693" t="str">
        <f>IF(G12=0,"",(G12*(12/MONTH(N$6)))/((Баланс!F$22+Баланс!G$22)/2))</f>
        <v/>
      </c>
      <c r="O12" s="695" t="str">
        <f>IF(H12=0,"",(H12*(12/MONTH(O$6)))/((Баланс!G$22+Баланс!H$22)/2))</f>
        <v/>
      </c>
      <c r="Q12" s="354"/>
      <c r="R12" s="505" t="str">
        <f t="shared" si="1"/>
        <v/>
      </c>
      <c r="S12" s="505" t="str">
        <f t="shared" si="0"/>
        <v/>
      </c>
      <c r="T12" s="505" t="str">
        <f t="shared" si="0"/>
        <v/>
      </c>
      <c r="U12" s="505" t="str">
        <f t="shared" si="0"/>
        <v/>
      </c>
      <c r="V12" s="506" t="str">
        <f t="shared" si="0"/>
        <v/>
      </c>
      <c r="AB12" s="1"/>
      <c r="AC12" s="1"/>
      <c r="AD12" s="1"/>
      <c r="AE12" s="1"/>
      <c r="AF12" s="1"/>
    </row>
    <row r="13" spans="1:32" s="8" customFormat="1" x14ac:dyDescent="0.2">
      <c r="A13" s="9"/>
      <c r="B13" s="14" t="str">
        <f>IF(L!$B$55=2,L!B75,L!C75)</f>
        <v>ФИНАНСОВЫЕ РАСХОДЫ</v>
      </c>
      <c r="C13" s="31"/>
      <c r="D13" s="31"/>
      <c r="E13" s="31"/>
      <c r="F13" s="31"/>
      <c r="G13" s="31"/>
      <c r="H13" s="19"/>
      <c r="J13" s="354"/>
      <c r="K13" s="692"/>
      <c r="L13" s="692"/>
      <c r="M13" s="692"/>
      <c r="N13" s="692"/>
      <c r="O13" s="694"/>
      <c r="Q13" s="354"/>
      <c r="R13" s="493"/>
      <c r="S13" s="493"/>
      <c r="T13" s="493"/>
      <c r="U13" s="493"/>
      <c r="V13" s="494"/>
      <c r="AB13" s="1"/>
      <c r="AC13" s="1"/>
      <c r="AD13" s="1"/>
      <c r="AE13" s="1"/>
      <c r="AF13" s="1"/>
    </row>
    <row r="14" spans="1:32" s="1" customFormat="1" x14ac:dyDescent="0.2">
      <c r="A14" s="7" t="s">
        <v>386</v>
      </c>
      <c r="B14" s="55" t="str">
        <f>IF(L!$B$55=2,L!B76,L!C76)</f>
        <v>Проценты по займам</v>
      </c>
      <c r="C14" s="356"/>
      <c r="D14" s="355"/>
      <c r="E14" s="355"/>
      <c r="F14" s="355"/>
      <c r="G14" s="355"/>
      <c r="H14" s="347"/>
      <c r="J14" s="492"/>
      <c r="K14" s="692" t="str">
        <f>IF(D14=0,"",(D14*(12/MONTH(K$6)))/((Баланс!C$22+Баланс!D$22)/2))</f>
        <v/>
      </c>
      <c r="L14" s="692" t="str">
        <f>IF(E14=0,"",(E14*(12/MONTH(L$6)))/((Баланс!D$22+Баланс!E$22)/2))</f>
        <v/>
      </c>
      <c r="M14" s="692" t="str">
        <f>IF(F14=0,"",(F14*(12/MONTH(M$6)))/((Баланс!E$22+Баланс!F$22)/2))</f>
        <v/>
      </c>
      <c r="N14" s="692" t="str">
        <f>IF(G14=0,"",(G14*(12/MONTH(N$6)))/((Баланс!F$22+Баланс!G$22)/2))</f>
        <v/>
      </c>
      <c r="O14" s="694" t="str">
        <f>IF(H14=0,"",(H14*(12/MONTH(O$6)))/((Баланс!G$22+Баланс!H$22)/2))</f>
        <v/>
      </c>
      <c r="Q14" s="492"/>
      <c r="R14" s="493" t="str">
        <f t="shared" si="1"/>
        <v/>
      </c>
      <c r="S14" s="493" t="str">
        <f t="shared" si="0"/>
        <v/>
      </c>
      <c r="T14" s="493" t="str">
        <f t="shared" si="0"/>
        <v/>
      </c>
      <c r="U14" s="493" t="str">
        <f t="shared" si="0"/>
        <v/>
      </c>
      <c r="V14" s="494" t="str">
        <f t="shared" si="0"/>
        <v/>
      </c>
    </row>
    <row r="15" spans="1:32" s="1" customFormat="1" x14ac:dyDescent="0.2">
      <c r="A15" s="7" t="s">
        <v>388</v>
      </c>
      <c r="B15" s="55" t="str">
        <f>IF(L!$B$55=2,L!B77,L!C77)</f>
        <v>Проценты по вкладам</v>
      </c>
      <c r="C15" s="355"/>
      <c r="D15" s="355"/>
      <c r="E15" s="355"/>
      <c r="F15" s="355"/>
      <c r="G15" s="355"/>
      <c r="H15" s="347"/>
      <c r="J15" s="495"/>
      <c r="K15" s="692" t="str">
        <f>IF(D15=0,"",(D15*(12/MONTH(K$6)))/((Баланс!C$22+Баланс!D$22)/2))</f>
        <v/>
      </c>
      <c r="L15" s="692" t="str">
        <f>IF(E15=0,"",(E15*(12/MONTH(L$6)))/((Баланс!D$22+Баланс!E$22)/2))</f>
        <v/>
      </c>
      <c r="M15" s="692" t="str">
        <f>IF(F15=0,"",(F15*(12/MONTH(M$6)))/((Баланс!E$22+Баланс!F$22)/2))</f>
        <v/>
      </c>
      <c r="N15" s="692" t="str">
        <f>IF(G15=0,"",(G15*(12/MONTH(N$6)))/((Баланс!F$22+Баланс!G$22)/2))</f>
        <v/>
      </c>
      <c r="O15" s="694" t="str">
        <f>IF(H15=0,"",(H15*(12/MONTH(O$6)))/((Баланс!G$22+Баланс!H$22)/2))</f>
        <v/>
      </c>
      <c r="Q15" s="495"/>
      <c r="R15" s="493" t="str">
        <f t="shared" si="1"/>
        <v/>
      </c>
      <c r="S15" s="493" t="str">
        <f t="shared" si="0"/>
        <v/>
      </c>
      <c r="T15" s="493" t="str">
        <f t="shared" si="0"/>
        <v/>
      </c>
      <c r="U15" s="493" t="str">
        <f t="shared" si="0"/>
        <v/>
      </c>
      <c r="V15" s="494" t="str">
        <f t="shared" si="0"/>
        <v/>
      </c>
    </row>
    <row r="16" spans="1:32" s="1" customFormat="1" x14ac:dyDescent="0.2">
      <c r="A16" s="7" t="s">
        <v>391</v>
      </c>
      <c r="B16" s="55" t="str">
        <f>IF(L!$B$55=2,L!B78,L!C78)</f>
        <v xml:space="preserve">Прочие фин. расходы </v>
      </c>
      <c r="C16" s="355"/>
      <c r="D16" s="355"/>
      <c r="E16" s="355"/>
      <c r="F16" s="355"/>
      <c r="G16" s="355"/>
      <c r="H16" s="347"/>
      <c r="J16" s="495"/>
      <c r="K16" s="692" t="str">
        <f>IF(D16=0,"",(D16*(12/MONTH(K$6)))/((Баланс!C$22+Баланс!D$22)/2))</f>
        <v/>
      </c>
      <c r="L16" s="692" t="str">
        <f>IF(E16=0,"",(E16*(12/MONTH(L$6)))/((Баланс!D$22+Баланс!E$22)/2))</f>
        <v/>
      </c>
      <c r="M16" s="692" t="str">
        <f>IF(F16=0,"",(F16*(12/MONTH(M$6)))/((Баланс!E$22+Баланс!F$22)/2))</f>
        <v/>
      </c>
      <c r="N16" s="692" t="str">
        <f>IF(G16=0,"",(G16*(12/MONTH(N$6)))/((Баланс!F$22+Баланс!G$22)/2))</f>
        <v/>
      </c>
      <c r="O16" s="694" t="str">
        <f>IF(H16=0,"",(H16*(12/MONTH(O$6)))/((Баланс!G$22+Баланс!H$22)/2))</f>
        <v/>
      </c>
      <c r="Q16" s="495"/>
      <c r="R16" s="493" t="str">
        <f t="shared" si="1"/>
        <v/>
      </c>
      <c r="S16" s="493" t="str">
        <f t="shared" si="0"/>
        <v/>
      </c>
      <c r="T16" s="493" t="str">
        <f t="shared" si="0"/>
        <v/>
      </c>
      <c r="U16" s="493" t="str">
        <f t="shared" si="0"/>
        <v/>
      </c>
      <c r="V16" s="494" t="str">
        <f t="shared" si="0"/>
        <v/>
      </c>
    </row>
    <row r="17" spans="1:32" s="8" customFormat="1" x14ac:dyDescent="0.2">
      <c r="A17" s="9" t="s">
        <v>392</v>
      </c>
      <c r="B17" s="14" t="str">
        <f>IF(L!$B$55=2,L!B79,L!C79)</f>
        <v>Итого финансовые расходы (I6+I7+I8)</v>
      </c>
      <c r="C17" s="31">
        <f t="shared" ref="C17:H17" si="3">C14+C15+C16</f>
        <v>0</v>
      </c>
      <c r="D17" s="31">
        <f t="shared" si="3"/>
        <v>0</v>
      </c>
      <c r="E17" s="31">
        <f t="shared" si="3"/>
        <v>0</v>
      </c>
      <c r="F17" s="31">
        <f t="shared" si="3"/>
        <v>0</v>
      </c>
      <c r="G17" s="31">
        <f t="shared" si="3"/>
        <v>0</v>
      </c>
      <c r="H17" s="19">
        <f t="shared" si="3"/>
        <v>0</v>
      </c>
      <c r="J17" s="354"/>
      <c r="K17" s="693" t="str">
        <f>IF(D17=0,"",(D17*(12/MONTH(K$6)))/((Баланс!C$22+Баланс!D$22)/2))</f>
        <v/>
      </c>
      <c r="L17" s="693" t="str">
        <f>IF(E17=0,"",(E17*(12/MONTH(L$6)))/((Баланс!D$22+Баланс!E$22)/2))</f>
        <v/>
      </c>
      <c r="M17" s="693" t="str">
        <f>IF(F17=0,"",(F17*(12/MONTH(M$6)))/((Баланс!E$22+Баланс!F$22)/2))</f>
        <v/>
      </c>
      <c r="N17" s="693" t="str">
        <f>IF(G17=0,"",(G17*(12/MONTH(N$6)))/((Баланс!F$22+Баланс!G$22)/2))</f>
        <v/>
      </c>
      <c r="O17" s="695" t="str">
        <f>IF(H17=0,"",(H17*(12/MONTH(O$6)))/((Баланс!G$22+Баланс!H$22)/2))</f>
        <v/>
      </c>
      <c r="Q17" s="354"/>
      <c r="R17" s="505" t="str">
        <f t="shared" si="1"/>
        <v/>
      </c>
      <c r="S17" s="505" t="str">
        <f t="shared" si="0"/>
        <v/>
      </c>
      <c r="T17" s="505" t="str">
        <f t="shared" si="0"/>
        <v/>
      </c>
      <c r="U17" s="505" t="str">
        <f t="shared" si="0"/>
        <v/>
      </c>
      <c r="V17" s="506" t="str">
        <f t="shared" si="0"/>
        <v/>
      </c>
      <c r="AB17" s="1"/>
      <c r="AC17" s="1"/>
      <c r="AD17" s="1"/>
      <c r="AE17" s="1"/>
      <c r="AF17" s="1"/>
    </row>
    <row r="18" spans="1:32" s="8" customFormat="1" x14ac:dyDescent="0.2">
      <c r="A18" s="9" t="s">
        <v>395</v>
      </c>
      <c r="B18" s="14" t="str">
        <f>IF(L!$B$55=2,L!B80,L!C80)</f>
        <v>Валовая финансовая маржа (I5 - I9)</v>
      </c>
      <c r="C18" s="31">
        <f t="shared" ref="C18:H18" si="4">C12-C17</f>
        <v>0</v>
      </c>
      <c r="D18" s="31">
        <f t="shared" si="4"/>
        <v>0</v>
      </c>
      <c r="E18" s="31">
        <f t="shared" si="4"/>
        <v>0</v>
      </c>
      <c r="F18" s="31">
        <f t="shared" si="4"/>
        <v>0</v>
      </c>
      <c r="G18" s="31">
        <f t="shared" si="4"/>
        <v>0</v>
      </c>
      <c r="H18" s="19">
        <f t="shared" si="4"/>
        <v>0</v>
      </c>
      <c r="J18" s="354"/>
      <c r="K18" s="692" t="str">
        <f>IF(D18=0,"",(D18*(12/MONTH(K$6)))/((Баланс!C$22+Баланс!D$22)/2))</f>
        <v/>
      </c>
      <c r="L18" s="692" t="str">
        <f>IF(E18=0,"",(E18*(12/MONTH(L$6)))/((Баланс!D$22+Баланс!E$22)/2))</f>
        <v/>
      </c>
      <c r="M18" s="692" t="str">
        <f>IF(F18=0,"",(F18*(12/MONTH(M$6)))/((Баланс!E$22+Баланс!F$22)/2))</f>
        <v/>
      </c>
      <c r="N18" s="692" t="str">
        <f>IF(G18=0,"",(G18*(12/MONTH(N$6)))/((Баланс!F$22+Баланс!G$22)/2))</f>
        <v/>
      </c>
      <c r="O18" s="694" t="str">
        <f>IF(H18=0,"",(H18*(12/MONTH(O$6)))/((Баланс!G$22+Баланс!H$22)/2))</f>
        <v/>
      </c>
      <c r="Q18" s="354"/>
      <c r="R18" s="493" t="str">
        <f t="shared" si="1"/>
        <v/>
      </c>
      <c r="S18" s="493" t="str">
        <f t="shared" si="0"/>
        <v/>
      </c>
      <c r="T18" s="493" t="str">
        <f t="shared" si="0"/>
        <v/>
      </c>
      <c r="U18" s="493" t="str">
        <f t="shared" si="0"/>
        <v/>
      </c>
      <c r="V18" s="494" t="str">
        <f t="shared" si="0"/>
        <v/>
      </c>
      <c r="AB18" s="1"/>
      <c r="AC18" s="1"/>
      <c r="AD18" s="1"/>
      <c r="AE18" s="1"/>
      <c r="AF18" s="1"/>
    </row>
    <row r="19" spans="1:32" s="1" customFormat="1" x14ac:dyDescent="0.2">
      <c r="A19" s="7" t="s">
        <v>398</v>
      </c>
      <c r="B19" s="55" t="str">
        <f>IF(L!$B$55=2,L!B81,L!C81)</f>
        <v>Изменение резерва под убытки (Провизия)</v>
      </c>
      <c r="C19" s="355"/>
      <c r="D19" s="355"/>
      <c r="E19" s="355"/>
      <c r="F19" s="355"/>
      <c r="G19" s="355"/>
      <c r="H19" s="347"/>
      <c r="J19" s="495"/>
      <c r="K19" s="692" t="str">
        <f>IF(D19=0,"",(D19*(12/MONTH(K$6)))/((Баланс!C$22+Баланс!D$22)/2))</f>
        <v/>
      </c>
      <c r="L19" s="692" t="str">
        <f>IF(E19=0,"",(E19*(12/MONTH(L$6)))/((Баланс!D$22+Баланс!E$22)/2))</f>
        <v/>
      </c>
      <c r="M19" s="692" t="str">
        <f>IF(F19=0,"",(F19*(12/MONTH(M$6)))/((Баланс!E$22+Баланс!F$22)/2))</f>
        <v/>
      </c>
      <c r="N19" s="692" t="str">
        <f>IF(G19=0,"",(G19*(12/MONTH(N$6)))/((Баланс!F$22+Баланс!G$22)/2))</f>
        <v/>
      </c>
      <c r="O19" s="694" t="str">
        <f>IF(H19=0,"",(H19*(12/MONTH(O$6)))/((Баланс!G$22+Баланс!H$22)/2))</f>
        <v/>
      </c>
      <c r="Q19" s="495"/>
      <c r="R19" s="493" t="str">
        <f t="shared" si="1"/>
        <v/>
      </c>
      <c r="S19" s="493" t="str">
        <f t="shared" si="0"/>
        <v/>
      </c>
      <c r="T19" s="493" t="str">
        <f t="shared" si="0"/>
        <v/>
      </c>
      <c r="U19" s="493" t="str">
        <f t="shared" si="0"/>
        <v/>
      </c>
      <c r="V19" s="494" t="str">
        <f t="shared" si="0"/>
        <v/>
      </c>
    </row>
    <row r="20" spans="1:32" s="8" customFormat="1" x14ac:dyDescent="0.2">
      <c r="A20" s="9" t="s">
        <v>401</v>
      </c>
      <c r="B20" s="14" t="str">
        <f>IF(L!$B$55=2,L!B82,L!C82)</f>
        <v>Чистая финансовая маржа (I10 - I11)</v>
      </c>
      <c r="C20" s="31">
        <f t="shared" ref="C20:H20" si="5">C18-C19</f>
        <v>0</v>
      </c>
      <c r="D20" s="31">
        <f t="shared" si="5"/>
        <v>0</v>
      </c>
      <c r="E20" s="31">
        <f t="shared" si="5"/>
        <v>0</v>
      </c>
      <c r="F20" s="31">
        <f t="shared" si="5"/>
        <v>0</v>
      </c>
      <c r="G20" s="31">
        <f t="shared" si="5"/>
        <v>0</v>
      </c>
      <c r="H20" s="19">
        <f t="shared" si="5"/>
        <v>0</v>
      </c>
      <c r="J20" s="354"/>
      <c r="K20" s="693" t="str">
        <f>IF(D20=0,"",(D20*(12/MONTH(K$6)))/((Баланс!C$22+Баланс!D$22)/2))</f>
        <v/>
      </c>
      <c r="L20" s="693" t="str">
        <f>IF(E20=0,"",(E20*(12/MONTH(L$6)))/((Баланс!D$22+Баланс!E$22)/2))</f>
        <v/>
      </c>
      <c r="M20" s="693" t="str">
        <f>IF(F20=0,"",(F20*(12/MONTH(M$6)))/((Баланс!E$22+Баланс!F$22)/2))</f>
        <v/>
      </c>
      <c r="N20" s="693" t="str">
        <f>IF(G20=0,"",(G20*(12/MONTH(N$6)))/((Баланс!F$22+Баланс!G$22)/2))</f>
        <v/>
      </c>
      <c r="O20" s="695" t="str">
        <f>IF(H20=0,"",(H20*(12/MONTH(O$6)))/((Баланс!G$22+Баланс!H$22)/2))</f>
        <v/>
      </c>
      <c r="Q20" s="354"/>
      <c r="R20" s="493" t="str">
        <f t="shared" si="1"/>
        <v/>
      </c>
      <c r="S20" s="493" t="str">
        <f t="shared" si="0"/>
        <v/>
      </c>
      <c r="T20" s="493" t="str">
        <f t="shared" si="0"/>
        <v/>
      </c>
      <c r="U20" s="493" t="str">
        <f t="shared" si="0"/>
        <v/>
      </c>
      <c r="V20" s="494" t="str">
        <f t="shared" si="0"/>
        <v/>
      </c>
      <c r="AB20" s="1"/>
      <c r="AC20" s="1"/>
      <c r="AD20" s="1"/>
      <c r="AE20" s="1"/>
      <c r="AF20" s="1"/>
    </row>
    <row r="21" spans="1:32" s="8" customFormat="1" x14ac:dyDescent="0.2">
      <c r="A21" s="9"/>
      <c r="B21" s="14" t="str">
        <f>IF(L!$B$55=2,L!B83,L!C83)</f>
        <v>ОПЕРАЦИОННЫЕ РАСХОДЫ</v>
      </c>
      <c r="C21" s="31"/>
      <c r="D21" s="31"/>
      <c r="E21" s="31"/>
      <c r="F21" s="31"/>
      <c r="G21" s="31"/>
      <c r="H21" s="19"/>
      <c r="J21" s="354"/>
      <c r="K21" s="692"/>
      <c r="L21" s="692"/>
      <c r="M21" s="692"/>
      <c r="N21" s="692"/>
      <c r="O21" s="694"/>
      <c r="Q21" s="354"/>
      <c r="R21" s="493"/>
      <c r="S21" s="493"/>
      <c r="T21" s="493"/>
      <c r="U21" s="493"/>
      <c r="V21" s="494"/>
      <c r="AB21" s="1"/>
      <c r="AC21" s="1"/>
      <c r="AD21" s="1"/>
      <c r="AE21" s="1"/>
      <c r="AF21" s="1"/>
    </row>
    <row r="22" spans="1:32" s="1" customFormat="1" x14ac:dyDescent="0.2">
      <c r="A22" s="7" t="s">
        <v>405</v>
      </c>
      <c r="B22" s="55" t="str">
        <f>IF(L!$B$55=2,L!B84,L!C84)</f>
        <v>Зарплата и отчисления в Соц.фонд</v>
      </c>
      <c r="C22" s="355"/>
      <c r="D22" s="355"/>
      <c r="E22" s="355"/>
      <c r="F22" s="355"/>
      <c r="G22" s="355"/>
      <c r="H22" s="347"/>
      <c r="J22" s="492"/>
      <c r="K22" s="692" t="str">
        <f>IF(D22=0,"",(D22*(12/MONTH(K$6)))/((Баланс!C$22+Баланс!D$22)/2))</f>
        <v/>
      </c>
      <c r="L22" s="692" t="str">
        <f>IF(E22=0,"",(E22*(12/MONTH(L$6)))/((Баланс!D$22+Баланс!E$22)/2))</f>
        <v/>
      </c>
      <c r="M22" s="692" t="str">
        <f>IF(F22=0,"",(F22*(12/MONTH(M$6)))/((Баланс!E$22+Баланс!F$22)/2))</f>
        <v/>
      </c>
      <c r="N22" s="692" t="str">
        <f>IF(G22=0,"",(G22*(12/MONTH(N$6)))/((Баланс!F$22+Баланс!G$22)/2))</f>
        <v/>
      </c>
      <c r="O22" s="694" t="str">
        <f>IF(H22=0,"",(H22*(12/MONTH(O$6)))/((Баланс!G$22+Баланс!H$22)/2))</f>
        <v/>
      </c>
      <c r="Q22" s="492"/>
      <c r="R22" s="493" t="str">
        <f t="shared" si="1"/>
        <v/>
      </c>
      <c r="S22" s="493" t="str">
        <f t="shared" si="0"/>
        <v/>
      </c>
      <c r="T22" s="493" t="str">
        <f t="shared" si="0"/>
        <v/>
      </c>
      <c r="U22" s="493" t="str">
        <f t="shared" si="0"/>
        <v/>
      </c>
      <c r="V22" s="494" t="str">
        <f t="shared" si="0"/>
        <v/>
      </c>
    </row>
    <row r="23" spans="1:32" s="50" customFormat="1" x14ac:dyDescent="0.2">
      <c r="A23" s="7" t="s">
        <v>406</v>
      </c>
      <c r="B23" s="55" t="str">
        <f>IF(L!$B$55=2,L!B85,L!C85)</f>
        <v>Административные расходы</v>
      </c>
      <c r="C23" s="287"/>
      <c r="D23" s="287"/>
      <c r="E23" s="287"/>
      <c r="F23" s="287"/>
      <c r="G23" s="287"/>
      <c r="H23" s="353"/>
      <c r="J23" s="497"/>
      <c r="K23" s="692" t="str">
        <f>IF(D23=0,"",(D23*(12/MONTH(K$6)))/((Баланс!C$22+Баланс!D$22)/2))</f>
        <v/>
      </c>
      <c r="L23" s="692" t="str">
        <f>IF(E23=0,"",(E23*(12/MONTH(L$6)))/((Баланс!D$22+Баланс!E$22)/2))</f>
        <v/>
      </c>
      <c r="M23" s="692" t="str">
        <f>IF(F23=0,"",(F23*(12/MONTH(M$6)))/((Баланс!E$22+Баланс!F$22)/2))</f>
        <v/>
      </c>
      <c r="N23" s="692" t="str">
        <f>IF(G23=0,"",(G23*(12/MONTH(N$6)))/((Баланс!F$22+Баланс!G$22)/2))</f>
        <v/>
      </c>
      <c r="O23" s="694" t="str">
        <f>IF(H23=0,"",(H23*(12/MONTH(O$6)))/((Баланс!G$22+Баланс!H$22)/2))</f>
        <v/>
      </c>
      <c r="Q23" s="497"/>
      <c r="R23" s="493" t="str">
        <f t="shared" si="1"/>
        <v/>
      </c>
      <c r="S23" s="493" t="str">
        <f t="shared" si="0"/>
        <v/>
      </c>
      <c r="T23" s="493" t="str">
        <f t="shared" si="0"/>
        <v/>
      </c>
      <c r="U23" s="493" t="str">
        <f t="shared" si="0"/>
        <v/>
      </c>
      <c r="V23" s="494" t="str">
        <f t="shared" si="0"/>
        <v/>
      </c>
      <c r="AB23" s="1"/>
      <c r="AC23" s="1"/>
      <c r="AD23" s="1"/>
      <c r="AE23" s="1"/>
      <c r="AF23" s="1"/>
    </row>
    <row r="24" spans="1:32" s="1" customFormat="1" x14ac:dyDescent="0.2">
      <c r="A24" s="7" t="s">
        <v>407</v>
      </c>
      <c r="B24" s="55" t="str">
        <f>IF(L!$B$55=2,L!B86,L!C86)</f>
        <v>Расходы по амортизации</v>
      </c>
      <c r="C24" s="356"/>
      <c r="D24" s="355"/>
      <c r="E24" s="92"/>
      <c r="F24" s="355"/>
      <c r="G24" s="355"/>
      <c r="H24" s="347"/>
      <c r="J24" s="492"/>
      <c r="K24" s="692" t="str">
        <f>IF(D24=0,"",(D24*(12/MONTH(K$6)))/((Баланс!C$22+Баланс!D$22)/2))</f>
        <v/>
      </c>
      <c r="L24" s="692" t="str">
        <f>IF(E24=0,"",(E24*(12/MONTH(L$6)))/((Баланс!D$22+Баланс!E$22)/2))</f>
        <v/>
      </c>
      <c r="M24" s="692" t="str">
        <f>IF(F24=0,"",(F24*(12/MONTH(M$6)))/((Баланс!E$22+Баланс!F$22)/2))</f>
        <v/>
      </c>
      <c r="N24" s="692" t="str">
        <f>IF(G24=0,"",(G24*(12/MONTH(N$6)))/((Баланс!F$22+Баланс!G$22)/2))</f>
        <v/>
      </c>
      <c r="O24" s="694" t="str">
        <f>IF(H24=0,"",(H24*(12/MONTH(O$6)))/((Баланс!G$22+Баланс!H$22)/2))</f>
        <v/>
      </c>
      <c r="Q24" s="492"/>
      <c r="R24" s="493" t="str">
        <f t="shared" si="1"/>
        <v/>
      </c>
      <c r="S24" s="493" t="str">
        <f t="shared" ref="S24:S36" si="6">IF(E24=0,"",((E24*(12/MONTH(S$6)))/(D24*(12/MONTH(R$6))))-1)</f>
        <v/>
      </c>
      <c r="T24" s="493" t="str">
        <f t="shared" ref="T24:T36" si="7">IF(F24=0,"",((F24*(12/MONTH(T$6)))/(E24*(12/MONTH(S$6))))-1)</f>
        <v/>
      </c>
      <c r="U24" s="493" t="str">
        <f t="shared" ref="U24:U36" si="8">IF(G24=0,"",((G24*(12/MONTH(U$6)))/(F24*(12/MONTH(T$6))))-1)</f>
        <v/>
      </c>
      <c r="V24" s="494" t="str">
        <f t="shared" ref="V24:V36" si="9">IF(H24=0,"",((H24*(12/MONTH(V$6)))/(G24*(12/MONTH(U$6))))-1)</f>
        <v/>
      </c>
    </row>
    <row r="25" spans="1:32" s="1" customFormat="1" x14ac:dyDescent="0.2">
      <c r="A25" s="7" t="s">
        <v>408</v>
      </c>
      <c r="B25" s="55" t="str">
        <f>IF(L!$B$55=2,L!B87,L!C87)</f>
        <v>Прочие операционные расходы</v>
      </c>
      <c r="C25" s="356"/>
      <c r="D25" s="355"/>
      <c r="E25" s="355"/>
      <c r="F25" s="355"/>
      <c r="G25" s="355"/>
      <c r="H25" s="347"/>
      <c r="J25" s="492"/>
      <c r="K25" s="692" t="str">
        <f>IF(D25=0,"",(D25*(12/MONTH(K$6)))/((Баланс!C$22+Баланс!D$22)/2))</f>
        <v/>
      </c>
      <c r="L25" s="692" t="str">
        <f>IF(E25=0,"",(E25*(12/MONTH(L$6)))/((Баланс!D$22+Баланс!E$22)/2))</f>
        <v/>
      </c>
      <c r="M25" s="692" t="str">
        <f>IF(F25=0,"",(F25*(12/MONTH(M$6)))/((Баланс!E$22+Баланс!F$22)/2))</f>
        <v/>
      </c>
      <c r="N25" s="692" t="str">
        <f>IF(G25=0,"",(G25*(12/MONTH(N$6)))/((Баланс!F$22+Баланс!G$22)/2))</f>
        <v/>
      </c>
      <c r="O25" s="694" t="str">
        <f>IF(H25=0,"",(H25*(12/MONTH(O$6)))/((Баланс!G$22+Баланс!H$22)/2))</f>
        <v/>
      </c>
      <c r="Q25" s="492"/>
      <c r="R25" s="493" t="str">
        <f t="shared" si="1"/>
        <v/>
      </c>
      <c r="S25" s="493" t="str">
        <f t="shared" si="6"/>
        <v/>
      </c>
      <c r="T25" s="493" t="str">
        <f t="shared" si="7"/>
        <v/>
      </c>
      <c r="U25" s="493" t="str">
        <f t="shared" si="8"/>
        <v/>
      </c>
      <c r="V25" s="494" t="str">
        <f t="shared" si="9"/>
        <v/>
      </c>
    </row>
    <row r="26" spans="1:32" s="8" customFormat="1" x14ac:dyDescent="0.2">
      <c r="A26" s="9" t="s">
        <v>409</v>
      </c>
      <c r="B26" s="14" t="str">
        <f>IF(L!$B$55=2,L!B88,L!C88)</f>
        <v>Итого операционные расходы (I13+I14+I15+I16)</v>
      </c>
      <c r="C26" s="31">
        <f t="shared" ref="C26:H26" si="10">C22+C23+C24+C25</f>
        <v>0</v>
      </c>
      <c r="D26" s="31">
        <f t="shared" si="10"/>
        <v>0</v>
      </c>
      <c r="E26" s="31">
        <f t="shared" si="10"/>
        <v>0</v>
      </c>
      <c r="F26" s="31">
        <f t="shared" si="10"/>
        <v>0</v>
      </c>
      <c r="G26" s="31">
        <f t="shared" si="10"/>
        <v>0</v>
      </c>
      <c r="H26" s="19">
        <f t="shared" si="10"/>
        <v>0</v>
      </c>
      <c r="J26" s="354"/>
      <c r="K26" s="693" t="str">
        <f>IF(D26=0,"",(D26*(12/MONTH(K$6)))/((Баланс!C$22+Баланс!D$22)/2))</f>
        <v/>
      </c>
      <c r="L26" s="693" t="str">
        <f>IF(E26=0,"",(E26*(12/MONTH(L$6)))/((Баланс!D$22+Баланс!E$22)/2))</f>
        <v/>
      </c>
      <c r="M26" s="693" t="str">
        <f>IF(F26=0,"",(F26*(12/MONTH(M$6)))/((Баланс!E$22+Баланс!F$22)/2))</f>
        <v/>
      </c>
      <c r="N26" s="693" t="str">
        <f>IF(G26=0,"",(G26*(12/MONTH(N$6)))/((Баланс!F$22+Баланс!G$22)/2))</f>
        <v/>
      </c>
      <c r="O26" s="695" t="str">
        <f>IF(H26=0,"",(H26*(12/MONTH(O$6)))/((Баланс!G$22+Баланс!H$22)/2))</f>
        <v/>
      </c>
      <c r="Q26" s="354"/>
      <c r="R26" s="505" t="str">
        <f t="shared" si="1"/>
        <v/>
      </c>
      <c r="S26" s="505" t="str">
        <f t="shared" si="6"/>
        <v/>
      </c>
      <c r="T26" s="505" t="str">
        <f t="shared" si="7"/>
        <v/>
      </c>
      <c r="U26" s="505" t="str">
        <f t="shared" si="8"/>
        <v/>
      </c>
      <c r="V26" s="506" t="str">
        <f t="shared" si="9"/>
        <v/>
      </c>
      <c r="AB26" s="1"/>
      <c r="AC26" s="1"/>
      <c r="AD26" s="1"/>
      <c r="AE26" s="1"/>
      <c r="AF26" s="1"/>
    </row>
    <row r="27" spans="1:32" s="8" customFormat="1" x14ac:dyDescent="0.2">
      <c r="A27" s="9" t="s">
        <v>410</v>
      </c>
      <c r="B27" s="14" t="str">
        <f>IF(L!$B$55=2,L!B89,L!C89)</f>
        <v>Чистый доход от операций (I12-I17)</v>
      </c>
      <c r="C27" s="31">
        <f t="shared" ref="C27:H27" si="11">C20-C26</f>
        <v>0</v>
      </c>
      <c r="D27" s="31">
        <f t="shared" si="11"/>
        <v>0</v>
      </c>
      <c r="E27" s="31">
        <f t="shared" si="11"/>
        <v>0</v>
      </c>
      <c r="F27" s="31">
        <f t="shared" si="11"/>
        <v>0</v>
      </c>
      <c r="G27" s="31">
        <f t="shared" si="11"/>
        <v>0</v>
      </c>
      <c r="H27" s="19">
        <f t="shared" si="11"/>
        <v>0</v>
      </c>
      <c r="J27" s="354"/>
      <c r="K27" s="693" t="str">
        <f>IF(D27=0,"",(D27*(12/MONTH(K$6)))/((Баланс!C$22+Баланс!D$22)/2))</f>
        <v/>
      </c>
      <c r="L27" s="693" t="str">
        <f>IF(E27=0,"",(E27*(12/MONTH(L$6)))/((Баланс!D$22+Баланс!E$22)/2))</f>
        <v/>
      </c>
      <c r="M27" s="693" t="str">
        <f>IF(F27=0,"",(F27*(12/MONTH(M$6)))/((Баланс!E$22+Баланс!F$22)/2))</f>
        <v/>
      </c>
      <c r="N27" s="693" t="str">
        <f>IF(G27=0,"",(G27*(12/MONTH(N$6)))/((Баланс!F$22+Баланс!G$22)/2))</f>
        <v/>
      </c>
      <c r="O27" s="695" t="str">
        <f>IF(H27=0,"",(H27*(12/MONTH(O$6)))/((Баланс!G$22+Баланс!H$22)/2))</f>
        <v/>
      </c>
      <c r="Q27" s="354"/>
      <c r="R27" s="505" t="str">
        <f t="shared" si="1"/>
        <v/>
      </c>
      <c r="S27" s="505" t="str">
        <f t="shared" si="6"/>
        <v/>
      </c>
      <c r="T27" s="505" t="str">
        <f t="shared" si="7"/>
        <v/>
      </c>
      <c r="U27" s="505" t="str">
        <f t="shared" si="8"/>
        <v/>
      </c>
      <c r="V27" s="506" t="str">
        <f t="shared" si="9"/>
        <v/>
      </c>
      <c r="AB27" s="1"/>
      <c r="AC27" s="1"/>
      <c r="AD27" s="1"/>
      <c r="AE27" s="1"/>
      <c r="AF27" s="1"/>
    </row>
    <row r="28" spans="1:32" s="8" customFormat="1" x14ac:dyDescent="0.2">
      <c r="A28" s="9"/>
      <c r="B28" s="14" t="str">
        <f>IF(L!$B$55=2,L!B90,L!C90)</f>
        <v>НЕОПЕРАЦИОННЫЕ ДОХОДЫ</v>
      </c>
      <c r="C28" s="31"/>
      <c r="D28" s="31"/>
      <c r="E28" s="31"/>
      <c r="F28" s="31"/>
      <c r="G28" s="31"/>
      <c r="H28" s="19"/>
      <c r="J28" s="354"/>
      <c r="K28" s="692"/>
      <c r="L28" s="692"/>
      <c r="M28" s="692"/>
      <c r="N28" s="692"/>
      <c r="O28" s="694"/>
      <c r="Q28" s="354"/>
      <c r="R28" s="493"/>
      <c r="S28" s="493"/>
      <c r="T28" s="493"/>
      <c r="U28" s="493"/>
      <c r="V28" s="494"/>
      <c r="AB28" s="1"/>
      <c r="AC28" s="1"/>
      <c r="AD28" s="1"/>
      <c r="AE28" s="1"/>
      <c r="AF28" s="1"/>
    </row>
    <row r="29" spans="1:32" s="1" customFormat="1" x14ac:dyDescent="0.2">
      <c r="A29" s="7" t="s">
        <v>411</v>
      </c>
      <c r="B29" s="55" t="str">
        <f>IF(L!$B$55=2,L!B91,L!C91)</f>
        <v>Доход/убыток от курсовой разницы</v>
      </c>
      <c r="C29" s="355"/>
      <c r="D29" s="355"/>
      <c r="E29" s="92"/>
      <c r="F29" s="92"/>
      <c r="G29" s="92"/>
      <c r="H29" s="91"/>
      <c r="J29" s="496"/>
      <c r="K29" s="692" t="str">
        <f>IF(D29=0,"",(D29*(12/MONTH(K$6)))/((Баланс!C$22+Баланс!D$22)/2))</f>
        <v/>
      </c>
      <c r="L29" s="692" t="str">
        <f>IF(E29=0,"",(E29*(12/MONTH(L$6)))/((Баланс!D$22+Баланс!E$22)/2))</f>
        <v/>
      </c>
      <c r="M29" s="692" t="str">
        <f>IF(F29=0,"",(F29*(12/MONTH(M$6)))/((Баланс!E$22+Баланс!F$22)/2))</f>
        <v/>
      </c>
      <c r="N29" s="692" t="str">
        <f>IF(G29=0,"",(G29*(12/MONTH(N$6)))/((Баланс!F$22+Баланс!G$22)/2))</f>
        <v/>
      </c>
      <c r="O29" s="694" t="str">
        <f>IF(H29=0,"",(H29*(12/MONTH(O$6)))/((Баланс!G$22+Баланс!H$22)/2))</f>
        <v/>
      </c>
      <c r="Q29" s="496"/>
      <c r="R29" s="493" t="str">
        <f t="shared" si="1"/>
        <v/>
      </c>
      <c r="S29" s="493" t="str">
        <f t="shared" si="6"/>
        <v/>
      </c>
      <c r="T29" s="493" t="str">
        <f t="shared" si="7"/>
        <v/>
      </c>
      <c r="U29" s="493" t="str">
        <f t="shared" si="8"/>
        <v/>
      </c>
      <c r="V29" s="494" t="str">
        <f t="shared" si="9"/>
        <v/>
      </c>
    </row>
    <row r="30" spans="1:32" s="1" customFormat="1" x14ac:dyDescent="0.2">
      <c r="A30" s="7" t="s">
        <v>412</v>
      </c>
      <c r="B30" s="55" t="str">
        <f>IF(L!$B$55=2,L!B92,L!C92)</f>
        <v>Неоперационные доходы</v>
      </c>
      <c r="C30" s="355"/>
      <c r="D30" s="355"/>
      <c r="E30" s="92"/>
      <c r="F30" s="355"/>
      <c r="G30" s="355"/>
      <c r="H30" s="347"/>
      <c r="J30" s="495"/>
      <c r="K30" s="692" t="str">
        <f>IF(D30=0,"",(D30*(12/MONTH(K$6)))/((Баланс!C$22+Баланс!D$22)/2))</f>
        <v/>
      </c>
      <c r="L30" s="692" t="str">
        <f>IF(E30=0,"",(E30*(12/MONTH(L$6)))/((Баланс!D$22+Баланс!E$22)/2))</f>
        <v/>
      </c>
      <c r="M30" s="692" t="str">
        <f>IF(F30=0,"",(F30*(12/MONTH(M$6)))/((Баланс!E$22+Баланс!F$22)/2))</f>
        <v/>
      </c>
      <c r="N30" s="692" t="str">
        <f>IF(G30=0,"",(G30*(12/MONTH(N$6)))/((Баланс!F$22+Баланс!G$22)/2))</f>
        <v/>
      </c>
      <c r="O30" s="694" t="str">
        <f>IF(H30=0,"",(H30*(12/MONTH(O$6)))/((Баланс!G$22+Баланс!H$22)/2))</f>
        <v/>
      </c>
      <c r="Q30" s="495"/>
      <c r="R30" s="493" t="str">
        <f t="shared" si="1"/>
        <v/>
      </c>
      <c r="S30" s="493" t="str">
        <f t="shared" si="6"/>
        <v/>
      </c>
      <c r="T30" s="493" t="str">
        <f t="shared" si="7"/>
        <v/>
      </c>
      <c r="U30" s="493" t="str">
        <f t="shared" si="8"/>
        <v/>
      </c>
      <c r="V30" s="494" t="str">
        <f t="shared" si="9"/>
        <v/>
      </c>
    </row>
    <row r="31" spans="1:32" s="1" customFormat="1" x14ac:dyDescent="0.2">
      <c r="A31" s="7" t="s">
        <v>414</v>
      </c>
      <c r="B31" s="55" t="str">
        <f>IF(L!$B$55=2,L!B93,L!C93)</f>
        <v>Неоперационные расходы</v>
      </c>
      <c r="C31" s="355"/>
      <c r="D31" s="355"/>
      <c r="E31" s="92"/>
      <c r="F31" s="355"/>
      <c r="G31" s="355"/>
      <c r="H31" s="347"/>
      <c r="J31" s="495"/>
      <c r="K31" s="692" t="str">
        <f>IF(D31=0,"",(D31*(12/MONTH(K$6)))/((Баланс!C$22+Баланс!D$22)/2))</f>
        <v/>
      </c>
      <c r="L31" s="692" t="str">
        <f>IF(E31=0,"",(E31*(12/MONTH(L$6)))/((Баланс!D$22+Баланс!E$22)/2))</f>
        <v/>
      </c>
      <c r="M31" s="692" t="str">
        <f>IF(F31=0,"",(F31*(12/MONTH(M$6)))/((Баланс!E$22+Баланс!F$22)/2))</f>
        <v/>
      </c>
      <c r="N31" s="692" t="str">
        <f>IF(G31=0,"",(G31*(12/MONTH(N$6)))/((Баланс!F$22+Баланс!G$22)/2))</f>
        <v/>
      </c>
      <c r="O31" s="694" t="str">
        <f>IF(H31=0,"",(H31*(12/MONTH(O$6)))/((Баланс!G$22+Баланс!H$22)/2))</f>
        <v/>
      </c>
      <c r="Q31" s="495"/>
      <c r="R31" s="493" t="str">
        <f t="shared" si="1"/>
        <v/>
      </c>
      <c r="S31" s="493" t="str">
        <f t="shared" si="6"/>
        <v/>
      </c>
      <c r="T31" s="493" t="str">
        <f t="shared" si="7"/>
        <v/>
      </c>
      <c r="U31" s="493" t="str">
        <f t="shared" si="8"/>
        <v/>
      </c>
      <c r="V31" s="494" t="str">
        <f t="shared" si="9"/>
        <v/>
      </c>
    </row>
    <row r="32" spans="1:32" s="1" customFormat="1" x14ac:dyDescent="0.2">
      <c r="A32" s="7" t="s">
        <v>415</v>
      </c>
      <c r="B32" s="55" t="str">
        <f>IF(L!$B$55=2,L!B94,L!C94)</f>
        <v>Гранты</v>
      </c>
      <c r="C32" s="355"/>
      <c r="D32" s="355"/>
      <c r="E32" s="92"/>
      <c r="F32" s="355"/>
      <c r="G32" s="355"/>
      <c r="H32" s="347"/>
      <c r="J32" s="495"/>
      <c r="K32" s="692" t="str">
        <f>IF(D32=0,"",(D32*(12/MONTH(K$6)))/((Баланс!C$22+Баланс!D$22)/2))</f>
        <v/>
      </c>
      <c r="L32" s="692" t="str">
        <f>IF(E32=0,"",(E32*(12/MONTH(L$6)))/((Баланс!D$22+Баланс!E$22)/2))</f>
        <v/>
      </c>
      <c r="M32" s="692" t="str">
        <f>IF(F32=0,"",(F32*(12/MONTH(M$6)))/((Баланс!E$22+Баланс!F$22)/2))</f>
        <v/>
      </c>
      <c r="N32" s="692" t="str">
        <f>IF(G32=0,"",(G32*(12/MONTH(N$6)))/((Баланс!F$22+Баланс!G$22)/2))</f>
        <v/>
      </c>
      <c r="O32" s="694" t="str">
        <f>IF(H32=0,"",(H32*(12/MONTH(O$6)))/((Баланс!G$22+Баланс!H$22)/2))</f>
        <v/>
      </c>
      <c r="Q32" s="495"/>
      <c r="R32" s="493" t="str">
        <f t="shared" si="1"/>
        <v/>
      </c>
      <c r="S32" s="493" t="str">
        <f t="shared" si="6"/>
        <v/>
      </c>
      <c r="T32" s="493" t="str">
        <f t="shared" si="7"/>
        <v/>
      </c>
      <c r="U32" s="493" t="str">
        <f t="shared" si="8"/>
        <v/>
      </c>
      <c r="V32" s="494" t="str">
        <f t="shared" si="9"/>
        <v/>
      </c>
    </row>
    <row r="33" spans="1:32" s="1" customFormat="1" x14ac:dyDescent="0.2">
      <c r="A33" s="9" t="s">
        <v>416</v>
      </c>
      <c r="B33" s="14" t="str">
        <f>IF(L!$B$55=2,L!B95,L!C95)</f>
        <v>Итого неоперационный доход (I19+I20+I21+I22)</v>
      </c>
      <c r="C33" s="354">
        <f t="shared" ref="C33:H33" si="12">C29+C30-C31+C32</f>
        <v>0</v>
      </c>
      <c r="D33" s="354">
        <f t="shared" si="12"/>
        <v>0</v>
      </c>
      <c r="E33" s="354">
        <f t="shared" si="12"/>
        <v>0</v>
      </c>
      <c r="F33" s="354">
        <f t="shared" si="12"/>
        <v>0</v>
      </c>
      <c r="G33" s="354">
        <f t="shared" si="12"/>
        <v>0</v>
      </c>
      <c r="H33" s="244">
        <f t="shared" si="12"/>
        <v>0</v>
      </c>
      <c r="J33" s="354"/>
      <c r="K33" s="692" t="str">
        <f>IF(D33=0,"",(D33*(12/MONTH(K$6)))/((Баланс!C$22+Баланс!D$22)/2))</f>
        <v/>
      </c>
      <c r="L33" s="692" t="str">
        <f>IF(E33=0,"",(E33*(12/MONTH(L$6)))/((Баланс!D$22+Баланс!E$22)/2))</f>
        <v/>
      </c>
      <c r="M33" s="692" t="str">
        <f>IF(F33=0,"",(F33*(12/MONTH(M$6)))/((Баланс!E$22+Баланс!F$22)/2))</f>
        <v/>
      </c>
      <c r="N33" s="692" t="str">
        <f>IF(G33=0,"",(G33*(12/MONTH(N$6)))/((Баланс!F$22+Баланс!G$22)/2))</f>
        <v/>
      </c>
      <c r="O33" s="694" t="str">
        <f>IF(H33=0,"",(H33*(12/MONTH(O$6)))/((Баланс!G$22+Баланс!H$22)/2))</f>
        <v/>
      </c>
      <c r="Q33" s="354"/>
      <c r="R33" s="493" t="str">
        <f t="shared" si="1"/>
        <v/>
      </c>
      <c r="S33" s="493" t="str">
        <f t="shared" si="6"/>
        <v/>
      </c>
      <c r="T33" s="493" t="str">
        <f t="shared" si="7"/>
        <v/>
      </c>
      <c r="U33" s="493" t="str">
        <f t="shared" si="8"/>
        <v/>
      </c>
      <c r="V33" s="494" t="str">
        <f t="shared" si="9"/>
        <v/>
      </c>
    </row>
    <row r="34" spans="1:32" s="8" customFormat="1" x14ac:dyDescent="0.2">
      <c r="A34" s="9" t="s">
        <v>421</v>
      </c>
      <c r="B34" s="14" t="str">
        <f>IF(L!$B$55=2,L!B96,L!C96)</f>
        <v>ВСЕГО ДОХОД - ПРИБЫЛЬ/УБЫТОК (I18+I23)</v>
      </c>
      <c r="C34" s="31">
        <f t="shared" ref="C34:H34" si="13">C27+C33</f>
        <v>0</v>
      </c>
      <c r="D34" s="31">
        <f t="shared" si="13"/>
        <v>0</v>
      </c>
      <c r="E34" s="31">
        <f t="shared" si="13"/>
        <v>0</v>
      </c>
      <c r="F34" s="31">
        <f t="shared" si="13"/>
        <v>0</v>
      </c>
      <c r="G34" s="31">
        <f t="shared" si="13"/>
        <v>0</v>
      </c>
      <c r="H34" s="19">
        <f t="shared" si="13"/>
        <v>0</v>
      </c>
      <c r="J34" s="354"/>
      <c r="K34" s="692" t="str">
        <f>IF(D34=0,"",(D34*(12/MONTH(K$6)))/((Баланс!C$22+Баланс!D$22)/2))</f>
        <v/>
      </c>
      <c r="L34" s="692" t="str">
        <f>IF(E34=0,"",(E34*(12/MONTH(L$6)))/((Баланс!D$22+Баланс!E$22)/2))</f>
        <v/>
      </c>
      <c r="M34" s="692" t="str">
        <f>IF(F34=0,"",(F34*(12/MONTH(M$6)))/((Баланс!E$22+Баланс!F$22)/2))</f>
        <v/>
      </c>
      <c r="N34" s="692" t="str">
        <f>IF(G34=0,"",(G34*(12/MONTH(N$6)))/((Баланс!F$22+Баланс!G$22)/2))</f>
        <v/>
      </c>
      <c r="O34" s="694" t="str">
        <f>IF(H34=0,"",(H34*(12/MONTH(O$6)))/((Баланс!G$22+Баланс!H$22)/2))</f>
        <v/>
      </c>
      <c r="Q34" s="354"/>
      <c r="R34" s="493" t="str">
        <f t="shared" si="1"/>
        <v/>
      </c>
      <c r="S34" s="493" t="str">
        <f t="shared" si="6"/>
        <v/>
      </c>
      <c r="T34" s="493" t="str">
        <f t="shared" si="7"/>
        <v/>
      </c>
      <c r="U34" s="493" t="str">
        <f t="shared" si="8"/>
        <v/>
      </c>
      <c r="V34" s="494" t="str">
        <f t="shared" si="9"/>
        <v/>
      </c>
      <c r="AB34" s="1"/>
      <c r="AC34" s="1"/>
      <c r="AD34" s="1"/>
      <c r="AE34" s="1"/>
      <c r="AF34" s="1"/>
    </row>
    <row r="35" spans="1:32" s="1" customFormat="1" ht="12" thickBot="1" x14ac:dyDescent="0.25">
      <c r="A35" s="38" t="s">
        <v>262</v>
      </c>
      <c r="B35" s="56" t="str">
        <f>IF(L!$B$55=2,L!B97,L!C97)</f>
        <v>Налог на прибыль</v>
      </c>
      <c r="C35" s="355"/>
      <c r="D35" s="355"/>
      <c r="E35" s="355"/>
      <c r="F35" s="355"/>
      <c r="G35" s="355"/>
      <c r="H35" s="347"/>
      <c r="J35" s="498"/>
      <c r="K35" s="696" t="str">
        <f>IF(D35=0,"",(D35*(12/MONTH(K$6)))/((Баланс!C$22+Баланс!D$22)/2))</f>
        <v/>
      </c>
      <c r="L35" s="696" t="str">
        <f>IF(E35=0,"",(E35*(12/MONTH(L$6)))/((Баланс!D$22+Баланс!E$22)/2))</f>
        <v/>
      </c>
      <c r="M35" s="696" t="str">
        <f>IF(F35=0,"",(F35*(12/MONTH(M$6)))/((Баланс!E$22+Баланс!F$22)/2))</f>
        <v/>
      </c>
      <c r="N35" s="696" t="str">
        <f>IF(G35=0,"",(G35*(12/MONTH(N$6)))/((Баланс!F$22+Баланс!G$22)/2))</f>
        <v/>
      </c>
      <c r="O35" s="697" t="str">
        <f>IF(H35=0,"",(H35*(12/MONTH(O$6)))/((Баланс!G$22+Баланс!H$22)/2))</f>
        <v/>
      </c>
      <c r="Q35" s="498"/>
      <c r="R35" s="499" t="str">
        <f t="shared" si="1"/>
        <v/>
      </c>
      <c r="S35" s="499" t="str">
        <f t="shared" si="6"/>
        <v/>
      </c>
      <c r="T35" s="499" t="str">
        <f t="shared" si="7"/>
        <v/>
      </c>
      <c r="U35" s="499" t="str">
        <f t="shared" si="8"/>
        <v/>
      </c>
      <c r="V35" s="500" t="str">
        <f t="shared" si="9"/>
        <v/>
      </c>
    </row>
    <row r="36" spans="1:32" s="8" customFormat="1" ht="12" thickBot="1" x14ac:dyDescent="0.25">
      <c r="A36" s="54" t="s">
        <v>956</v>
      </c>
      <c r="B36" s="57" t="str">
        <f>IF(L!$B$55=2,L!B98,L!C98)</f>
        <v>ЧИСТАЯ ПРИБЫЛЬ (I24-I25)</v>
      </c>
      <c r="C36" s="45">
        <f t="shared" ref="C36:H36" si="14">C34-C35</f>
        <v>0</v>
      </c>
      <c r="D36" s="45">
        <f t="shared" si="14"/>
        <v>0</v>
      </c>
      <c r="E36" s="45">
        <f t="shared" si="14"/>
        <v>0</v>
      </c>
      <c r="F36" s="45">
        <f t="shared" si="14"/>
        <v>0</v>
      </c>
      <c r="G36" s="45">
        <f t="shared" si="14"/>
        <v>0</v>
      </c>
      <c r="H36" s="20">
        <f t="shared" si="14"/>
        <v>0</v>
      </c>
      <c r="J36" s="501"/>
      <c r="K36" s="698" t="str">
        <f>IF(D36=0,"",(D36*(12/MONTH(K$6)))/((Баланс!C$22+Баланс!D$22)/2))</f>
        <v/>
      </c>
      <c r="L36" s="698" t="str">
        <f>IF(E36=0,"",(E36*(12/MONTH(L$6)))/((Баланс!D$22+Баланс!E$22)/2))</f>
        <v/>
      </c>
      <c r="M36" s="698" t="str">
        <f>IF(F36=0,"",(F36*(12/MONTH(M$6)))/((Баланс!E$22+Баланс!F$22)/2))</f>
        <v/>
      </c>
      <c r="N36" s="698" t="str">
        <f>IF(G36=0,"",(G36*(12/MONTH(N$6)))/((Баланс!F$22+Баланс!G$22)/2))</f>
        <v/>
      </c>
      <c r="O36" s="699" t="str">
        <f>IF(H36=0,"",(H36*(12/MONTH(O$6)))/((Баланс!G$22+Баланс!H$22)/2))</f>
        <v/>
      </c>
      <c r="Q36" s="703"/>
      <c r="R36" s="704" t="str">
        <f t="shared" si="1"/>
        <v/>
      </c>
      <c r="S36" s="704" t="str">
        <f t="shared" si="6"/>
        <v/>
      </c>
      <c r="T36" s="704" t="str">
        <f t="shared" si="7"/>
        <v/>
      </c>
      <c r="U36" s="704" t="str">
        <f t="shared" si="8"/>
        <v/>
      </c>
      <c r="V36" s="502" t="str">
        <f t="shared" si="9"/>
        <v/>
      </c>
      <c r="AB36" s="1"/>
      <c r="AC36" s="1"/>
      <c r="AD36" s="1"/>
      <c r="AE36" s="1"/>
      <c r="AF36" s="1"/>
    </row>
    <row r="38" spans="1:32" x14ac:dyDescent="0.2">
      <c r="C38" s="59"/>
      <c r="D38" s="59"/>
      <c r="E38" s="59"/>
      <c r="F38" s="59"/>
      <c r="G38" s="59"/>
      <c r="H38" s="59"/>
    </row>
    <row r="39" spans="1:32" x14ac:dyDescent="0.2">
      <c r="F39" s="59"/>
    </row>
    <row r="40" spans="1:32" x14ac:dyDescent="0.2">
      <c r="B40" s="238" t="str">
        <f>IF(L!$B$55=2,L!D62,L!E62)</f>
        <v>Руководитель компании:</v>
      </c>
      <c r="C40" s="951" t="s">
        <v>849</v>
      </c>
      <c r="D40" s="951"/>
      <c r="E40" s="951"/>
      <c r="G40" s="319" t="s">
        <v>120</v>
      </c>
    </row>
    <row r="41" spans="1:32" x14ac:dyDescent="0.2">
      <c r="C41" s="949" t="str">
        <f>IF(L!$B$55=2,L!D64,L!E64)</f>
        <v>Ф.И.О.</v>
      </c>
      <c r="D41" s="949"/>
      <c r="E41" s="949"/>
      <c r="G41" s="319" t="str">
        <f>IF(L!$B$55=2,L!D65,L!E65)</f>
        <v>Подпись/печать</v>
      </c>
      <c r="H41" s="59"/>
    </row>
    <row r="45" spans="1:32" x14ac:dyDescent="0.2">
      <c r="B45" s="238" t="str">
        <f>IF(L!$B$55=2,L!D63,L!E63)</f>
        <v>Главный бухгалтер</v>
      </c>
      <c r="C45" s="951" t="s">
        <v>849</v>
      </c>
      <c r="D45" s="951"/>
      <c r="E45" s="951"/>
      <c r="G45" s="319" t="s">
        <v>120</v>
      </c>
    </row>
    <row r="46" spans="1:32" x14ac:dyDescent="0.2">
      <c r="C46" s="949" t="str">
        <f>IF(L!$B$55=2,L!D64,L!E64)</f>
        <v>Ф.И.О.</v>
      </c>
      <c r="D46" s="949"/>
      <c r="E46" s="949"/>
      <c r="G46" s="319" t="str">
        <f>IF(L!$B$55=2,L!D66,L!E66)</f>
        <v>Подпись</v>
      </c>
    </row>
  </sheetData>
  <sheetProtection password="8FDE" sheet="1" objects="1" scenarios="1" formatColumns="0" formatRows="0"/>
  <mergeCells count="7">
    <mergeCell ref="C46:E46"/>
    <mergeCell ref="J7:O7"/>
    <mergeCell ref="Q7:V7"/>
    <mergeCell ref="B2:B3"/>
    <mergeCell ref="C40:E40"/>
    <mergeCell ref="C45:E45"/>
    <mergeCell ref="C41:E41"/>
  </mergeCells>
  <phoneticPr fontId="9" type="noConversion"/>
  <pageMargins left="0.2" right="0.16" top="0.33" bottom="0.32" header="0.28000000000000003" footer="0.27"/>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77" r:id="rId4" name="Drop Down 25">
              <controlPr defaultSize="0" print="0" autoLine="0" autoPict="0">
                <anchor moveWithCells="1">
                  <from>
                    <xdr:col>1</xdr:col>
                    <xdr:colOff>1838325</xdr:colOff>
                    <xdr:row>1</xdr:row>
                    <xdr:rowOff>38100</xdr:rowOff>
                  </from>
                  <to>
                    <xdr:col>2</xdr:col>
                    <xdr:colOff>9525</xdr:colOff>
                    <xdr:row>2</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46"/>
  <sheetViews>
    <sheetView workbookViewId="0">
      <selection activeCell="B12" sqref="B12"/>
    </sheetView>
  </sheetViews>
  <sheetFormatPr defaultRowHeight="11.25" x14ac:dyDescent="0.2"/>
  <cols>
    <col min="1" max="1" width="2.28515625" style="1" bestFit="1" customWidth="1"/>
    <col min="2" max="2" width="50.5703125" style="1" customWidth="1"/>
    <col min="3" max="3" width="14.42578125" style="1" bestFit="1" customWidth="1"/>
    <col min="4" max="4" width="13.28515625" style="1" bestFit="1" customWidth="1"/>
    <col min="5" max="5" width="14.140625" style="1" bestFit="1" customWidth="1"/>
    <col min="6" max="6" width="15" style="1" bestFit="1" customWidth="1"/>
    <col min="7" max="7" width="15.85546875" style="1" bestFit="1" customWidth="1"/>
    <col min="8" max="8" width="15" style="1" bestFit="1" customWidth="1"/>
    <col min="9" max="9" width="15" style="1" customWidth="1"/>
    <col min="10" max="10" width="12" style="1" bestFit="1" customWidth="1"/>
    <col min="11" max="11" width="12.140625" style="1" bestFit="1" customWidth="1"/>
    <col min="12" max="16384" width="9.140625" style="1"/>
  </cols>
  <sheetData>
    <row r="2" spans="1:11" x14ac:dyDescent="0.2">
      <c r="B2" s="8">
        <f>Заявка!B15</f>
        <v>0</v>
      </c>
    </row>
    <row r="4" spans="1:11" x14ac:dyDescent="0.2">
      <c r="B4" s="8" t="str">
        <f>IF(L!$B$670=1,L!C674,L!B674)</f>
        <v>АНАЛИЗ УПРАВЛЕНИЯ АКТИВАМИ И ПАССИВАМИ</v>
      </c>
    </row>
    <row r="7" spans="1:11" x14ac:dyDescent="0.2">
      <c r="A7" s="611" t="s">
        <v>1189</v>
      </c>
      <c r="B7" s="8" t="str">
        <f>IF(L!$B$670=1,L!C676,L!B676)</f>
        <v>Разделите активы и пассивы по оставшимся срокам</v>
      </c>
      <c r="C7" s="623">
        <f>Баланс!H6</f>
        <v>0</v>
      </c>
    </row>
    <row r="8" spans="1:11" x14ac:dyDescent="0.2">
      <c r="A8" s="612"/>
      <c r="B8" s="1" t="str">
        <f>IF(L!$B$670=1,L!C677,L!B677)</f>
        <v>Введите данные в валюте отчетности</v>
      </c>
    </row>
    <row r="9" spans="1:11" x14ac:dyDescent="0.2">
      <c r="A9" s="612"/>
    </row>
    <row r="10" spans="1:11" x14ac:dyDescent="0.2">
      <c r="A10" s="612"/>
      <c r="B10" s="614" t="str">
        <f>IF(L!$B$670=1,L!C679,L!B679)</f>
        <v>Баланс</v>
      </c>
      <c r="C10" s="615" t="str">
        <f>IF(L!$B$670=1,L!C695,L!B695)</f>
        <v>Немедленные</v>
      </c>
      <c r="D10" s="615" t="str">
        <f>IF(L!$B$670=1,L!C696,L!B696)</f>
        <v>от 1 до 30 дней</v>
      </c>
      <c r="E10" s="615" t="str">
        <f>IF(L!$B$670=1,L!C697,L!B697)</f>
        <v>от 31 до 90 дней</v>
      </c>
      <c r="F10" s="615" t="str">
        <f>IF(L!$B$670=1,L!C698,L!B698)</f>
        <v>от 91 до 180 дней</v>
      </c>
      <c r="G10" s="615" t="str">
        <f>IF(L!$B$670=1,L!C699,L!B699)</f>
        <v>от 181 до 365 дней</v>
      </c>
      <c r="H10" s="616" t="str">
        <f>IF(L!$B$670=1,L!C700,L!B700)</f>
        <v>от 1 года до 3 лет</v>
      </c>
      <c r="I10" s="616" t="str">
        <f>IF(L!$B$670=1,L!C701,L!B701)</f>
        <v>от 3 года до 5 лет</v>
      </c>
      <c r="J10" s="615" t="str">
        <f>IF(L!$B$670=1,L!C702,L!B702)</f>
        <v>Другое</v>
      </c>
      <c r="K10" s="615" t="str">
        <f>IF(L!$B$670=1,L!C703,L!B703)</f>
        <v>Итого</v>
      </c>
    </row>
    <row r="11" spans="1:11" x14ac:dyDescent="0.2">
      <c r="A11" s="612"/>
      <c r="B11" s="624" t="str">
        <f>IF(L!$B$670=1,L!C680,L!B680)</f>
        <v>Активы</v>
      </c>
      <c r="C11" s="613"/>
      <c r="D11" s="613"/>
      <c r="E11" s="613"/>
      <c r="F11" s="613"/>
      <c r="G11" s="613"/>
      <c r="H11" s="613"/>
      <c r="I11" s="613"/>
      <c r="J11" s="613"/>
      <c r="K11" s="613"/>
    </row>
    <row r="12" spans="1:11" x14ac:dyDescent="0.2">
      <c r="A12" s="612"/>
      <c r="B12" s="625" t="str">
        <f>IF(L!$B$670=1,L!C681,L!B681)</f>
        <v>Касса и средства на счетах</v>
      </c>
      <c r="C12" s="621"/>
      <c r="D12" s="621"/>
      <c r="E12" s="621"/>
      <c r="F12" s="621"/>
      <c r="G12" s="621"/>
      <c r="H12" s="621"/>
      <c r="I12" s="621"/>
      <c r="J12" s="621"/>
      <c r="K12" s="613">
        <f>SUM(C12:J12)</f>
        <v>0</v>
      </c>
    </row>
    <row r="13" spans="1:11" x14ac:dyDescent="0.2">
      <c r="A13" s="612"/>
      <c r="B13" s="625" t="str">
        <f>IF(L!$B$670=1,L!C682,L!B682)</f>
        <v>Инвестиции, депозиты</v>
      </c>
      <c r="C13" s="621"/>
      <c r="D13" s="621"/>
      <c r="E13" s="621"/>
      <c r="F13" s="621"/>
      <c r="G13" s="621"/>
      <c r="H13" s="621"/>
      <c r="I13" s="621"/>
      <c r="J13" s="621"/>
      <c r="K13" s="613">
        <f>SUM(C13:J13)</f>
        <v>0</v>
      </c>
    </row>
    <row r="14" spans="1:11" x14ac:dyDescent="0.2">
      <c r="A14" s="612"/>
      <c r="B14" s="625" t="str">
        <f>IF(L!$B$670=1,L!C683,L!B683)</f>
        <v>Кредитный портфель</v>
      </c>
      <c r="C14" s="621"/>
      <c r="D14" s="621"/>
      <c r="E14" s="621"/>
      <c r="F14" s="621"/>
      <c r="G14" s="621"/>
      <c r="H14" s="621"/>
      <c r="I14" s="621"/>
      <c r="J14" s="621"/>
      <c r="K14" s="613">
        <f>SUM(C14:J14)</f>
        <v>0</v>
      </c>
    </row>
    <row r="15" spans="1:11" x14ac:dyDescent="0.2">
      <c r="A15" s="612"/>
      <c r="B15" s="625" t="str">
        <f>IF(L!$B$670=1,L!C684,L!B684)</f>
        <v>Чистые долгосрочные активы</v>
      </c>
      <c r="C15" s="621"/>
      <c r="D15" s="621"/>
      <c r="E15" s="621"/>
      <c r="F15" s="621"/>
      <c r="G15" s="621"/>
      <c r="H15" s="621"/>
      <c r="I15" s="621"/>
      <c r="J15" s="621"/>
      <c r="K15" s="613">
        <f>SUM(C15:J15)</f>
        <v>0</v>
      </c>
    </row>
    <row r="16" spans="1:11" x14ac:dyDescent="0.2">
      <c r="A16" s="612"/>
      <c r="B16" s="625" t="str">
        <f>IF(L!$B$670=1,L!C685,L!B685)</f>
        <v>Другие активы</v>
      </c>
      <c r="C16" s="621"/>
      <c r="D16" s="621"/>
      <c r="E16" s="621"/>
      <c r="F16" s="621"/>
      <c r="G16" s="621"/>
      <c r="H16" s="621"/>
      <c r="I16" s="621"/>
      <c r="J16" s="621"/>
      <c r="K16" s="613">
        <f>SUM(C16:J16)</f>
        <v>0</v>
      </c>
    </row>
    <row r="17" spans="1:11" x14ac:dyDescent="0.2">
      <c r="A17" s="612"/>
      <c r="B17" s="624" t="str">
        <f>IF(L!$B$670=1,L!C686,L!B686)</f>
        <v>Итого активы</v>
      </c>
      <c r="C17" s="613">
        <f>SUM(C12:C16)</f>
        <v>0</v>
      </c>
      <c r="D17" s="613">
        <f t="shared" ref="D17:K17" si="0">SUM(D12:D16)</f>
        <v>0</v>
      </c>
      <c r="E17" s="613">
        <f t="shared" si="0"/>
        <v>0</v>
      </c>
      <c r="F17" s="613">
        <f t="shared" si="0"/>
        <v>0</v>
      </c>
      <c r="G17" s="613">
        <f t="shared" si="0"/>
        <v>0</v>
      </c>
      <c r="H17" s="613">
        <f t="shared" si="0"/>
        <v>0</v>
      </c>
      <c r="I17" s="613"/>
      <c r="J17" s="613">
        <f t="shared" si="0"/>
        <v>0</v>
      </c>
      <c r="K17" s="613">
        <f t="shared" si="0"/>
        <v>0</v>
      </c>
    </row>
    <row r="18" spans="1:11" x14ac:dyDescent="0.2">
      <c r="A18" s="612"/>
      <c r="B18" s="624" t="str">
        <f>IF(L!$B$670=1,L!C687,L!B687)</f>
        <v>Пассивы</v>
      </c>
      <c r="C18" s="613"/>
      <c r="D18" s="613"/>
      <c r="E18" s="613"/>
      <c r="F18" s="613"/>
      <c r="G18" s="613"/>
      <c r="H18" s="613"/>
      <c r="I18" s="613"/>
      <c r="J18" s="613"/>
      <c r="K18" s="613"/>
    </row>
    <row r="19" spans="1:11" x14ac:dyDescent="0.2">
      <c r="A19" s="612"/>
      <c r="B19" s="625" t="str">
        <f>IF(L!$B$670=1,L!C688,L!B688)</f>
        <v>Депозиты</v>
      </c>
      <c r="C19" s="622"/>
      <c r="D19" s="622"/>
      <c r="E19" s="622"/>
      <c r="F19" s="622"/>
      <c r="G19" s="622"/>
      <c r="H19" s="622"/>
      <c r="I19" s="622"/>
      <c r="J19" s="622"/>
      <c r="K19" s="613">
        <f>SUM(C19:J19)</f>
        <v>0</v>
      </c>
    </row>
    <row r="20" spans="1:11" x14ac:dyDescent="0.2">
      <c r="A20" s="612"/>
      <c r="B20" s="625" t="str">
        <f>IF(L!$B$670=1,L!C689,L!B689)</f>
        <v>Займы полученные</v>
      </c>
      <c r="C20" s="621"/>
      <c r="D20" s="621"/>
      <c r="E20" s="621"/>
      <c r="F20" s="621"/>
      <c r="G20" s="621"/>
      <c r="H20" s="621"/>
      <c r="I20" s="621"/>
      <c r="J20" s="621"/>
      <c r="K20" s="613">
        <f>SUM(C20:J20)</f>
        <v>0</v>
      </c>
    </row>
    <row r="21" spans="1:11" x14ac:dyDescent="0.2">
      <c r="A21" s="612"/>
      <c r="B21" s="625" t="str">
        <f>IF(L!$B$670=1,L!C690,L!B690)</f>
        <v>Прочие обязательства</v>
      </c>
      <c r="C21" s="621"/>
      <c r="D21" s="621"/>
      <c r="E21" s="621"/>
      <c r="F21" s="621"/>
      <c r="G21" s="621"/>
      <c r="H21" s="621"/>
      <c r="I21" s="621"/>
      <c r="J21" s="621"/>
      <c r="K21" s="613">
        <f>SUM(C21:J21)</f>
        <v>0</v>
      </c>
    </row>
    <row r="22" spans="1:11" x14ac:dyDescent="0.2">
      <c r="A22" s="612"/>
      <c r="B22" s="624" t="str">
        <f>IF(L!$B$670=1,L!C691,L!B691)</f>
        <v>Итого обязательства</v>
      </c>
      <c r="C22" s="613">
        <f>SUM(C19:C21)</f>
        <v>0</v>
      </c>
      <c r="D22" s="613">
        <f t="shared" ref="D22:K22" si="1">SUM(D19:D21)</f>
        <v>0</v>
      </c>
      <c r="E22" s="613">
        <f t="shared" si="1"/>
        <v>0</v>
      </c>
      <c r="F22" s="613">
        <f t="shared" si="1"/>
        <v>0</v>
      </c>
      <c r="G22" s="613">
        <f t="shared" si="1"/>
        <v>0</v>
      </c>
      <c r="H22" s="613">
        <f t="shared" si="1"/>
        <v>0</v>
      </c>
      <c r="I22" s="613"/>
      <c r="J22" s="613">
        <f t="shared" si="1"/>
        <v>0</v>
      </c>
      <c r="K22" s="613">
        <f t="shared" si="1"/>
        <v>0</v>
      </c>
    </row>
    <row r="23" spans="1:11" x14ac:dyDescent="0.2">
      <c r="A23" s="612"/>
      <c r="B23" s="626" t="str">
        <f>IF(L!$B$670=1,L!C692,L!B692)</f>
        <v>Чиcтая позиция</v>
      </c>
      <c r="C23" s="619">
        <f>C17-C22</f>
        <v>0</v>
      </c>
      <c r="D23" s="619">
        <f t="shared" ref="D23:J23" si="2">D17-D22</f>
        <v>0</v>
      </c>
      <c r="E23" s="619">
        <f t="shared" si="2"/>
        <v>0</v>
      </c>
      <c r="F23" s="619">
        <f t="shared" si="2"/>
        <v>0</v>
      </c>
      <c r="G23" s="619">
        <f t="shared" si="2"/>
        <v>0</v>
      </c>
      <c r="H23" s="619">
        <f t="shared" si="2"/>
        <v>0</v>
      </c>
      <c r="I23" s="619">
        <f t="shared" si="2"/>
        <v>0</v>
      </c>
      <c r="J23" s="619">
        <f t="shared" si="2"/>
        <v>0</v>
      </c>
      <c r="K23" s="619"/>
    </row>
    <row r="24" spans="1:11" x14ac:dyDescent="0.2">
      <c r="B24" s="626" t="str">
        <f>IF(L!$B$670=1,L!C693,L!B693)</f>
        <v>Кумулятивная позиция</v>
      </c>
      <c r="C24" s="619">
        <f>C23</f>
        <v>0</v>
      </c>
      <c r="D24" s="619">
        <f>C24+D23</f>
        <v>0</v>
      </c>
      <c r="E24" s="619">
        <f t="shared" ref="E24:J24" si="3">D24+E23</f>
        <v>0</v>
      </c>
      <c r="F24" s="619">
        <f t="shared" si="3"/>
        <v>0</v>
      </c>
      <c r="G24" s="619">
        <f t="shared" si="3"/>
        <v>0</v>
      </c>
      <c r="H24" s="619">
        <f t="shared" si="3"/>
        <v>0</v>
      </c>
      <c r="I24" s="619">
        <f t="shared" si="3"/>
        <v>0</v>
      </c>
      <c r="J24" s="619">
        <f t="shared" si="3"/>
        <v>0</v>
      </c>
      <c r="K24" s="618"/>
    </row>
    <row r="27" spans="1:11" x14ac:dyDescent="0.2">
      <c r="A27" s="611" t="s">
        <v>1237</v>
      </c>
      <c r="B27" s="8" t="str">
        <f>IF(L!$B$670=1,L!C706,L!B706)</f>
        <v>Разделите активы и пассивы по видам валюты</v>
      </c>
      <c r="C27" s="623">
        <f>Баланс!H6</f>
        <v>0</v>
      </c>
    </row>
    <row r="28" spans="1:11" x14ac:dyDescent="0.2">
      <c r="A28" s="612"/>
      <c r="B28" s="1" t="str">
        <f>IF(L!$B$670=1,L!C677,L!B677)</f>
        <v>Введите данные в валюте отчетности</v>
      </c>
    </row>
    <row r="29" spans="1:11" x14ac:dyDescent="0.2">
      <c r="A29" s="612"/>
    </row>
    <row r="30" spans="1:11" s="620" customFormat="1" ht="22.5" x14ac:dyDescent="0.2">
      <c r="A30" s="612"/>
      <c r="B30" s="614" t="str">
        <f>IF(L!$B$670=1,L!C679,L!B679)</f>
        <v>Баланс</v>
      </c>
      <c r="C30" s="616" t="s">
        <v>65</v>
      </c>
      <c r="D30" s="616" t="s">
        <v>620</v>
      </c>
      <c r="E30" s="616" t="str">
        <f>IF(L!$B$670=1,L!C714,L!B714)</f>
        <v>В другой валюте</v>
      </c>
      <c r="F30" s="616" t="str">
        <f>IF(L!$B$670=1,L!C715,L!B715)</f>
        <v>Национальная валюта</v>
      </c>
      <c r="G30" s="616" t="str">
        <f>IF(L!$B$670=1,L!C716,L!B716)</f>
        <v>Итого</v>
      </c>
    </row>
    <row r="31" spans="1:11" x14ac:dyDescent="0.2">
      <c r="A31" s="612"/>
      <c r="B31" s="624" t="str">
        <f>IF(L!$B$670=1,L!C680,L!B680)</f>
        <v>Активы</v>
      </c>
      <c r="C31" s="613"/>
      <c r="D31" s="613"/>
      <c r="E31" s="613"/>
      <c r="F31" s="613"/>
      <c r="G31" s="613"/>
    </row>
    <row r="32" spans="1:11" x14ac:dyDescent="0.2">
      <c r="A32" s="612"/>
      <c r="B32" s="625" t="str">
        <f>IF(L!$B$670=1,L!C681,L!B681)</f>
        <v>Касса и средства на счетах</v>
      </c>
      <c r="C32" s="621"/>
      <c r="D32" s="621"/>
      <c r="E32" s="621"/>
      <c r="F32" s="621"/>
      <c r="G32" s="613">
        <f>SUM(C32:F32)</f>
        <v>0</v>
      </c>
    </row>
    <row r="33" spans="1:7" x14ac:dyDescent="0.2">
      <c r="A33" s="612"/>
      <c r="B33" s="625" t="str">
        <f>IF(L!$B$670=1,L!C682,L!B682)</f>
        <v>Инвестиции, депозиты</v>
      </c>
      <c r="C33" s="621"/>
      <c r="D33" s="621"/>
      <c r="E33" s="621"/>
      <c r="F33" s="621"/>
      <c r="G33" s="613">
        <f>SUM(C33:F33)</f>
        <v>0</v>
      </c>
    </row>
    <row r="34" spans="1:7" x14ac:dyDescent="0.2">
      <c r="A34" s="612"/>
      <c r="B34" s="625" t="str">
        <f>IF(L!$B$670=1,L!C683,L!B683)</f>
        <v>Кредитный портфель</v>
      </c>
      <c r="C34" s="621"/>
      <c r="D34" s="621"/>
      <c r="E34" s="621"/>
      <c r="F34" s="621"/>
      <c r="G34" s="613">
        <f>SUM(C34:F34)</f>
        <v>0</v>
      </c>
    </row>
    <row r="35" spans="1:7" x14ac:dyDescent="0.2">
      <c r="A35" s="612"/>
      <c r="B35" s="625" t="str">
        <f>IF(L!$B$670=1,L!C684,L!B684)</f>
        <v>Чистые долгосрочные активы</v>
      </c>
      <c r="C35" s="621"/>
      <c r="D35" s="621"/>
      <c r="E35" s="621"/>
      <c r="F35" s="621"/>
      <c r="G35" s="613">
        <f>SUM(C35:F35)</f>
        <v>0</v>
      </c>
    </row>
    <row r="36" spans="1:7" x14ac:dyDescent="0.2">
      <c r="A36" s="612"/>
      <c r="B36" s="625" t="str">
        <f>IF(L!$B$670=1,L!C685,L!B685)</f>
        <v>Другие активы</v>
      </c>
      <c r="C36" s="621"/>
      <c r="D36" s="621"/>
      <c r="E36" s="621"/>
      <c r="F36" s="621"/>
      <c r="G36" s="613">
        <f>SUM(C36:F36)</f>
        <v>0</v>
      </c>
    </row>
    <row r="37" spans="1:7" x14ac:dyDescent="0.2">
      <c r="A37" s="612"/>
      <c r="B37" s="624" t="str">
        <f>IF(L!$B$670=1,L!C686,L!B686)</f>
        <v>Итого активы</v>
      </c>
      <c r="C37" s="613">
        <f>SUM(C32:C36)</f>
        <v>0</v>
      </c>
      <c r="D37" s="613">
        <f>SUM(D32:D36)</f>
        <v>0</v>
      </c>
      <c r="E37" s="613">
        <f>SUM(E32:E36)</f>
        <v>0</v>
      </c>
      <c r="F37" s="613">
        <f>SUM(F32:F36)</f>
        <v>0</v>
      </c>
      <c r="G37" s="613">
        <f>SUM(G32:G36)</f>
        <v>0</v>
      </c>
    </row>
    <row r="38" spans="1:7" x14ac:dyDescent="0.2">
      <c r="A38" s="612"/>
      <c r="B38" s="624" t="str">
        <f>IF(L!$B$670=1,L!C687,L!B687)</f>
        <v>Пассивы</v>
      </c>
      <c r="C38" s="613"/>
      <c r="D38" s="613"/>
      <c r="E38" s="613"/>
      <c r="F38" s="613"/>
      <c r="G38" s="613"/>
    </row>
    <row r="39" spans="1:7" x14ac:dyDescent="0.2">
      <c r="A39" s="612"/>
      <c r="B39" s="625" t="str">
        <f>IF(L!$B$670=1,L!C688,L!B688)</f>
        <v>Депозиты</v>
      </c>
      <c r="C39" s="622"/>
      <c r="D39" s="622"/>
      <c r="E39" s="622"/>
      <c r="F39" s="622"/>
      <c r="G39" s="613">
        <f>SUM(C39:F39)</f>
        <v>0</v>
      </c>
    </row>
    <row r="40" spans="1:7" x14ac:dyDescent="0.2">
      <c r="A40" s="612"/>
      <c r="B40" s="625" t="str">
        <f>IF(L!$B$670=1,L!C689,L!B689)</f>
        <v>Займы полученные</v>
      </c>
      <c r="C40" s="621"/>
      <c r="D40" s="621"/>
      <c r="E40" s="621"/>
      <c r="F40" s="621"/>
      <c r="G40" s="613">
        <f>SUM(C40:F40)</f>
        <v>0</v>
      </c>
    </row>
    <row r="41" spans="1:7" x14ac:dyDescent="0.2">
      <c r="A41" s="612"/>
      <c r="B41" s="625" t="str">
        <f>IF(L!$B$670=1,L!C690,L!B690)</f>
        <v>Прочие обязательства</v>
      </c>
      <c r="C41" s="621"/>
      <c r="D41" s="621"/>
      <c r="E41" s="621"/>
      <c r="F41" s="621"/>
      <c r="G41" s="613">
        <f>SUM(C41:F41)</f>
        <v>0</v>
      </c>
    </row>
    <row r="42" spans="1:7" x14ac:dyDescent="0.2">
      <c r="A42" s="612"/>
      <c r="B42" s="624" t="str">
        <f>IF(L!$B$670=1,L!C691,L!B691)</f>
        <v>Итого обязательства</v>
      </c>
      <c r="C42" s="613">
        <f>SUM(C39:C41)</f>
        <v>0</v>
      </c>
      <c r="D42" s="613">
        <f>SUM(D39:D41)</f>
        <v>0</v>
      </c>
      <c r="E42" s="613">
        <f>SUM(E39:E41)</f>
        <v>0</v>
      </c>
      <c r="F42" s="613">
        <f>SUM(F39:F41)</f>
        <v>0</v>
      </c>
      <c r="G42" s="613">
        <f>SUM(G39:G41)</f>
        <v>0</v>
      </c>
    </row>
    <row r="43" spans="1:7" x14ac:dyDescent="0.2">
      <c r="A43" s="612"/>
      <c r="B43" s="617" t="str">
        <f>IF(L!$B$670=1,L!C709,L!B709)</f>
        <v>Капитал</v>
      </c>
      <c r="C43" s="613"/>
      <c r="D43" s="613"/>
      <c r="E43" s="613"/>
      <c r="F43" s="613"/>
      <c r="G43" s="613"/>
    </row>
    <row r="44" spans="1:7" x14ac:dyDescent="0.2">
      <c r="A44" s="612"/>
      <c r="B44" s="617" t="str">
        <f>IF(L!$B$670=1,L!C710,L!B710)</f>
        <v>Итого капитал</v>
      </c>
      <c r="C44" s="622"/>
      <c r="D44" s="622"/>
      <c r="E44" s="622"/>
      <c r="F44" s="622"/>
      <c r="G44" s="613">
        <f>SUM(C44:F44)</f>
        <v>0</v>
      </c>
    </row>
    <row r="45" spans="1:7" x14ac:dyDescent="0.2">
      <c r="A45" s="612"/>
      <c r="B45" s="628" t="str">
        <f>IF(L!$B$670=1,L!C711,L!B711)</f>
        <v>Чиcтая позиция</v>
      </c>
      <c r="C45" s="619">
        <f>C37-C42</f>
        <v>0</v>
      </c>
      <c r="D45" s="619">
        <f>D37-D42</f>
        <v>0</v>
      </c>
      <c r="E45" s="619">
        <f>E37-E42</f>
        <v>0</v>
      </c>
      <c r="F45" s="619">
        <f>F37-F42</f>
        <v>0</v>
      </c>
      <c r="G45" s="619"/>
    </row>
    <row r="46" spans="1:7" x14ac:dyDescent="0.2">
      <c r="B46" s="627" t="str">
        <f>IF(L!$B$670=1,L!C712,L!B712)</f>
        <v>В % соотношении от капитала</v>
      </c>
      <c r="C46" s="629" t="e">
        <f>C45/$G$44</f>
        <v>#DIV/0!</v>
      </c>
      <c r="D46" s="629" t="e">
        <f>D45/$G$44</f>
        <v>#DIV/0!</v>
      </c>
      <c r="E46" s="629" t="e">
        <f>E45/$G$44</f>
        <v>#DIV/0!</v>
      </c>
      <c r="F46" s="629" t="e">
        <f>F45/$G$44</f>
        <v>#DIV/0!</v>
      </c>
      <c r="G46" s="618"/>
    </row>
  </sheetData>
  <sheetProtection password="8FDE" sheet="1" formatColumns="0" formatRows="0" insertColumns="0" insertRows="0"/>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31265" r:id="rId4" name="Drop Down 1">
              <controlPr defaultSize="0" print="0" autoLine="0" autoPict="0">
                <anchor moveWithCells="1">
                  <from>
                    <xdr:col>2</xdr:col>
                    <xdr:colOff>19050</xdr:colOff>
                    <xdr:row>3</xdr:row>
                    <xdr:rowOff>9525</xdr:rowOff>
                  </from>
                  <to>
                    <xdr:col>2</xdr:col>
                    <xdr:colOff>847725</xdr:colOff>
                    <xdr:row>4</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8"/>
  <dimension ref="A2:O206"/>
  <sheetViews>
    <sheetView showGridLines="0" topLeftCell="A85" zoomScaleNormal="100" workbookViewId="0">
      <selection activeCell="F97" sqref="F97"/>
    </sheetView>
  </sheetViews>
  <sheetFormatPr defaultColWidth="24.85546875" defaultRowHeight="11.25" x14ac:dyDescent="0.2"/>
  <cols>
    <col min="1" max="1" width="38.140625" style="107" customWidth="1"/>
    <col min="2" max="13" width="12" style="107" bestFit="1" customWidth="1"/>
    <col min="14" max="15" width="9" style="107" customWidth="1"/>
    <col min="16" max="17" width="9.42578125" style="107" customWidth="1"/>
    <col min="18" max="18" width="12.140625" style="107" customWidth="1"/>
    <col min="19" max="16384" width="24.85546875" style="107"/>
  </cols>
  <sheetData>
    <row r="2" spans="1:15" x14ac:dyDescent="0.2">
      <c r="A2" s="106" t="str">
        <f>IF(Заявка!B15&gt;0,Заявка!B15,"")</f>
        <v/>
      </c>
      <c r="B2" s="106"/>
      <c r="C2" s="106"/>
      <c r="D2" s="106"/>
    </row>
    <row r="3" spans="1:15" x14ac:dyDescent="0.2">
      <c r="A3" s="981" t="str">
        <f>IF(L!$B$249=1,L!B254,L!C254)</f>
        <v>АНАЛИЗ КРЕДИТНОГО ПОРТФЕЛЯ</v>
      </c>
      <c r="B3" s="106"/>
      <c r="C3" s="106"/>
      <c r="D3" s="106"/>
    </row>
    <row r="4" spans="1:15" ht="12.75" x14ac:dyDescent="0.2">
      <c r="A4" s="981"/>
      <c r="B4" s="108"/>
      <c r="C4" s="108"/>
      <c r="D4" s="108"/>
      <c r="E4" s="109"/>
      <c r="K4" s="110"/>
      <c r="M4" s="111"/>
    </row>
    <row r="5" spans="1:15" ht="12" thickBot="1" x14ac:dyDescent="0.25">
      <c r="A5" s="108"/>
      <c r="B5" s="108"/>
      <c r="C5" s="108"/>
      <c r="D5" s="108"/>
      <c r="E5" s="109"/>
    </row>
    <row r="6" spans="1:15" ht="12" thickBot="1" x14ac:dyDescent="0.25">
      <c r="A6" s="220" t="str">
        <f>IF(L!$B$249=1,L!C13,L!B13)</f>
        <v>ОТЧЕТНЫЙ ПЕРИОД :</v>
      </c>
      <c r="B6" s="968" t="str">
        <f>Баланс!C6</f>
        <v/>
      </c>
      <c r="C6" s="969"/>
      <c r="D6" s="974" t="str">
        <f>Баланс!D6</f>
        <v/>
      </c>
      <c r="E6" s="969"/>
      <c r="F6" s="968" t="str">
        <f>Баланс!E6</f>
        <v/>
      </c>
      <c r="G6" s="969"/>
      <c r="H6" s="968" t="str">
        <f>Баланс!F6</f>
        <v/>
      </c>
      <c r="I6" s="969"/>
      <c r="J6" s="968" t="str">
        <f>Баланс!G6</f>
        <v/>
      </c>
      <c r="K6" s="969"/>
      <c r="L6" s="968">
        <f>Баланс!H6</f>
        <v>0</v>
      </c>
      <c r="M6" s="969"/>
      <c r="O6" s="333"/>
    </row>
    <row r="7" spans="1:15" ht="22.5" x14ac:dyDescent="0.2">
      <c r="A7" s="193" t="str">
        <f>IF(L!$B$249=1,L!B264,L!C264)</f>
        <v>I. Объем кредитного портфеля в разрезе методологий кредитования</v>
      </c>
      <c r="B7" s="114" t="str">
        <f>IF(L!$B$249=1,L!B255,L!C255)</f>
        <v>Сумма</v>
      </c>
      <c r="C7" s="115" t="str">
        <f>IF(L!$B$249=1,L!B257,L!C257)</f>
        <v>Кол-во кредитов</v>
      </c>
      <c r="D7" s="112" t="str">
        <f>IF(L!$B$249=1,L!B255,L!C255)</f>
        <v>Сумма</v>
      </c>
      <c r="E7" s="113" t="str">
        <f>IF(L!$B$249=1,L!B257,L!C257)</f>
        <v>Кол-во кредитов</v>
      </c>
      <c r="F7" s="114" t="str">
        <f>IF(L!$B$249=1,L!B255,L!C255)</f>
        <v>Сумма</v>
      </c>
      <c r="G7" s="113" t="str">
        <f>IF(L!$B$249=1,L!B257,L!C257)</f>
        <v>Кол-во кредитов</v>
      </c>
      <c r="H7" s="114" t="str">
        <f>IF(L!$B$249=1,L!B255,L!C255)</f>
        <v>Сумма</v>
      </c>
      <c r="I7" s="113" t="str">
        <f>IF(L!$B$249=1,L!B257,L!C257)</f>
        <v>Кол-во кредитов</v>
      </c>
      <c r="J7" s="114" t="str">
        <f>IF(L!$B$249=1,L!B255,L!C255)</f>
        <v>Сумма</v>
      </c>
      <c r="K7" s="113" t="str">
        <f>IF(L!$B$249=1,L!B257,L!C257)</f>
        <v>Кол-во кредитов</v>
      </c>
      <c r="L7" s="114" t="str">
        <f>IF(L!$B$249=1,L!B255,L!C255)</f>
        <v>Сумма</v>
      </c>
      <c r="M7" s="115" t="str">
        <f>IF(L!$B$249=1,L!B257,L!C257)</f>
        <v>Кол-во кредитов</v>
      </c>
    </row>
    <row r="8" spans="1:15" x14ac:dyDescent="0.2">
      <c r="A8" s="194" t="str">
        <f>IF(L!$B$249=1,L!B265,L!C265)</f>
        <v>Индивидуальное</v>
      </c>
      <c r="B8" s="94"/>
      <c r="C8" s="96"/>
      <c r="D8" s="93"/>
      <c r="E8" s="95"/>
      <c r="F8" s="94"/>
      <c r="G8" s="95"/>
      <c r="H8" s="94"/>
      <c r="I8" s="95"/>
      <c r="J8" s="94"/>
      <c r="K8" s="369"/>
      <c r="L8" s="366"/>
      <c r="M8" s="371"/>
    </row>
    <row r="9" spans="1:15" x14ac:dyDescent="0.2">
      <c r="A9" s="194" t="str">
        <f>IF(L!$B$249=1,L!B266,L!C266)</f>
        <v>Групповое</v>
      </c>
      <c r="B9" s="94"/>
      <c r="C9" s="96"/>
      <c r="D9" s="93"/>
      <c r="E9" s="95"/>
      <c r="F9" s="94"/>
      <c r="G9" s="95"/>
      <c r="H9" s="94"/>
      <c r="I9" s="95"/>
      <c r="J9" s="94"/>
      <c r="K9" s="95"/>
      <c r="L9" s="94"/>
      <c r="M9" s="96"/>
    </row>
    <row r="10" spans="1:15" x14ac:dyDescent="0.2">
      <c r="A10" s="194" t="str">
        <f>IF(L!$B$249=1,L!B267,L!C267)</f>
        <v>Другой вид кредитования</v>
      </c>
      <c r="B10" s="94"/>
      <c r="C10" s="96"/>
      <c r="D10" s="93"/>
      <c r="E10" s="95"/>
      <c r="F10" s="94"/>
      <c r="G10" s="95"/>
      <c r="H10" s="94"/>
      <c r="I10" s="95"/>
      <c r="J10" s="94"/>
      <c r="K10" s="95"/>
      <c r="L10" s="94"/>
      <c r="M10" s="96"/>
    </row>
    <row r="11" spans="1:15" ht="12" thickBot="1" x14ac:dyDescent="0.25">
      <c r="A11" s="195" t="str">
        <f>IF(L!$B$249=1,L!B268,L!C268)</f>
        <v>ИТОГО</v>
      </c>
      <c r="B11" s="117">
        <f t="shared" ref="B11:G11" si="0">SUM(B8:B10)</f>
        <v>0</v>
      </c>
      <c r="C11" s="119">
        <f t="shared" si="0"/>
        <v>0</v>
      </c>
      <c r="D11" s="116">
        <f t="shared" si="0"/>
        <v>0</v>
      </c>
      <c r="E11" s="118">
        <f t="shared" si="0"/>
        <v>0</v>
      </c>
      <c r="F11" s="117">
        <f t="shared" si="0"/>
        <v>0</v>
      </c>
      <c r="G11" s="118">
        <f t="shared" si="0"/>
        <v>0</v>
      </c>
      <c r="H11" s="117">
        <f t="shared" ref="H11:M11" si="1">SUM(H8:H10)</f>
        <v>0</v>
      </c>
      <c r="I11" s="118">
        <f t="shared" si="1"/>
        <v>0</v>
      </c>
      <c r="J11" s="117">
        <f t="shared" si="1"/>
        <v>0</v>
      </c>
      <c r="K11" s="118">
        <f t="shared" si="1"/>
        <v>0</v>
      </c>
      <c r="L11" s="117">
        <f t="shared" si="1"/>
        <v>0</v>
      </c>
      <c r="M11" s="119">
        <f t="shared" si="1"/>
        <v>0</v>
      </c>
    </row>
    <row r="12" spans="1:15" x14ac:dyDescent="0.2">
      <c r="A12" s="120"/>
      <c r="B12" s="121"/>
      <c r="C12" s="259"/>
      <c r="D12" s="121"/>
      <c r="E12" s="121"/>
      <c r="F12" s="121"/>
      <c r="G12" s="259"/>
      <c r="H12" s="121"/>
      <c r="I12" s="121"/>
      <c r="J12" s="121"/>
      <c r="K12" s="259"/>
      <c r="L12" s="121"/>
      <c r="M12" s="121"/>
      <c r="N12" s="222"/>
    </row>
    <row r="13" spans="1:15" ht="12" thickBot="1" x14ac:dyDescent="0.25">
      <c r="A13" s="120"/>
      <c r="B13" s="121"/>
      <c r="C13" s="259"/>
      <c r="D13" s="121"/>
      <c r="E13" s="121"/>
      <c r="F13" s="121"/>
      <c r="G13" s="259"/>
      <c r="H13" s="121"/>
      <c r="I13" s="121"/>
      <c r="J13" s="121"/>
      <c r="K13" s="259"/>
      <c r="L13" s="121"/>
      <c r="M13" s="121"/>
      <c r="N13" s="222"/>
    </row>
    <row r="14" spans="1:15" x14ac:dyDescent="0.2">
      <c r="A14" s="262"/>
      <c r="B14" s="968" t="str">
        <f>B6</f>
        <v/>
      </c>
      <c r="C14" s="969"/>
      <c r="D14" s="968" t="str">
        <f>D6</f>
        <v/>
      </c>
      <c r="E14" s="969"/>
      <c r="F14" s="968" t="str">
        <f>F6</f>
        <v/>
      </c>
      <c r="G14" s="969"/>
      <c r="H14" s="968" t="str">
        <f>H6</f>
        <v/>
      </c>
      <c r="I14" s="969"/>
      <c r="J14" s="968" t="str">
        <f>J6</f>
        <v/>
      </c>
      <c r="K14" s="969"/>
      <c r="L14" s="968">
        <f>L6</f>
        <v>0</v>
      </c>
      <c r="M14" s="969"/>
    </row>
    <row r="15" spans="1:15" ht="23.25" thickBot="1" x14ac:dyDescent="0.25">
      <c r="A15" s="263" t="str">
        <f>IF(L!$B$249=1,L!B270,L!C270)</f>
        <v>II. Объем кредитного портфеля в разрезе валюты кредитования</v>
      </c>
      <c r="B15" s="268" t="str">
        <f>IF(L!$B$249=1,L!B255,L!C255)</f>
        <v>Сумма</v>
      </c>
      <c r="C15" s="269" t="str">
        <f>IF(L!$B$249=1,L!B257,L!C257)</f>
        <v>Кол-во кредитов</v>
      </c>
      <c r="D15" s="268" t="str">
        <f>IF(L!$B$249=1,L!B255,L!C255)</f>
        <v>Сумма</v>
      </c>
      <c r="E15" s="269" t="str">
        <f>IF(L!$B$249=1,L!B257,L!C257)</f>
        <v>Кол-во кредитов</v>
      </c>
      <c r="F15" s="268" t="str">
        <f>IF(L!$B$249=1,L!B255,L!C255)</f>
        <v>Сумма</v>
      </c>
      <c r="G15" s="269" t="str">
        <f>IF(L!$B$249=1,L!B257,L!C257)</f>
        <v>Кол-во кредитов</v>
      </c>
      <c r="H15" s="268" t="str">
        <f>IF(L!$B$249=1,L!B255,L!C255)</f>
        <v>Сумма</v>
      </c>
      <c r="I15" s="269" t="str">
        <f>IF(L!$B$249=1,L!B257,L!C257)</f>
        <v>Кол-во кредитов</v>
      </c>
      <c r="J15" s="268" t="str">
        <f>IF(L!$B$249=1,L!B255,L!C255)</f>
        <v>Сумма</v>
      </c>
      <c r="K15" s="269" t="str">
        <f>IF(L!$B$249=1,L!B257,L!C257)</f>
        <v>Кол-во кредитов</v>
      </c>
      <c r="L15" s="268" t="str">
        <f>IF(L!$B$249=1,L!B255,L!C255)</f>
        <v>Сумма</v>
      </c>
      <c r="M15" s="269" t="str">
        <f>IF(L!$B$249=1,L!B257,L!C257)</f>
        <v>Кол-во кредитов</v>
      </c>
    </row>
    <row r="16" spans="1:15" x14ac:dyDescent="0.2">
      <c r="A16" s="196" t="str">
        <f>IF(L!$B$249=1,L!B271,L!C271)</f>
        <v>В национальной валюте</v>
      </c>
      <c r="B16" s="424"/>
      <c r="C16" s="425"/>
      <c r="D16" s="426"/>
      <c r="E16" s="427"/>
      <c r="F16" s="274"/>
      <c r="G16" s="427"/>
      <c r="H16" s="274"/>
      <c r="I16" s="427"/>
      <c r="J16" s="274"/>
      <c r="K16" s="428"/>
      <c r="L16" s="411"/>
      <c r="M16" s="412"/>
    </row>
    <row r="17" spans="1:13" x14ac:dyDescent="0.2">
      <c r="A17" s="197" t="str">
        <f>IF(L!$B$249=1,L!B272,L!C272)</f>
        <v>В долларах США</v>
      </c>
      <c r="B17" s="100"/>
      <c r="C17" s="219"/>
      <c r="D17" s="100"/>
      <c r="E17" s="219"/>
      <c r="F17" s="100"/>
      <c r="G17" s="219"/>
      <c r="H17" s="100"/>
      <c r="I17" s="219"/>
      <c r="J17" s="100"/>
      <c r="K17" s="219"/>
      <c r="L17" s="100"/>
      <c r="M17" s="219"/>
    </row>
    <row r="18" spans="1:13" x14ac:dyDescent="0.2">
      <c r="A18" s="197" t="str">
        <f>IF(L!$B$249=1,L!B273,L!C273)</f>
        <v>Индексированные кредиты к $ США</v>
      </c>
      <c r="B18" s="100"/>
      <c r="C18" s="219"/>
      <c r="D18" s="100"/>
      <c r="E18" s="219"/>
      <c r="F18" s="100"/>
      <c r="G18" s="219"/>
      <c r="H18" s="100"/>
      <c r="I18" s="219"/>
      <c r="J18" s="100"/>
      <c r="K18" s="219"/>
      <c r="L18" s="100"/>
      <c r="M18" s="219"/>
    </row>
    <row r="19" spans="1:13" x14ac:dyDescent="0.2">
      <c r="A19" s="197" t="str">
        <f>IF(L!$B$249=1,L!B274,L!C274)</f>
        <v>В ЕВРО</v>
      </c>
      <c r="B19" s="100"/>
      <c r="C19" s="219"/>
      <c r="D19" s="100"/>
      <c r="E19" s="219"/>
      <c r="F19" s="100"/>
      <c r="G19" s="219"/>
      <c r="H19" s="100"/>
      <c r="I19" s="219"/>
      <c r="J19" s="100"/>
      <c r="K19" s="219"/>
      <c r="L19" s="100"/>
      <c r="M19" s="219"/>
    </row>
    <row r="20" spans="1:13" x14ac:dyDescent="0.2">
      <c r="A20" s="197" t="str">
        <f>IF(L!$B$249=1,L!B275,L!C275)</f>
        <v>Индексированные кредиты к ЕВРО</v>
      </c>
      <c r="B20" s="100"/>
      <c r="C20" s="219"/>
      <c r="D20" s="100"/>
      <c r="E20" s="219"/>
      <c r="F20" s="100"/>
      <c r="G20" s="219"/>
      <c r="H20" s="100"/>
      <c r="I20" s="219"/>
      <c r="J20" s="100"/>
      <c r="K20" s="219"/>
      <c r="L20" s="100"/>
      <c r="M20" s="219"/>
    </row>
    <row r="21" spans="1:13" x14ac:dyDescent="0.2">
      <c r="A21" s="197" t="str">
        <f>IF(L!$B$249=1,L!B276,L!C276)</f>
        <v>В другой иностранной валюте</v>
      </c>
      <c r="B21" s="100"/>
      <c r="C21" s="219"/>
      <c r="D21" s="100"/>
      <c r="E21" s="219"/>
      <c r="F21" s="100"/>
      <c r="G21" s="219"/>
      <c r="H21" s="100"/>
      <c r="I21" s="219"/>
      <c r="J21" s="100"/>
      <c r="K21" s="219"/>
      <c r="L21" s="100"/>
      <c r="M21" s="219"/>
    </row>
    <row r="22" spans="1:13" ht="12" thickBot="1" x14ac:dyDescent="0.25">
      <c r="A22" s="198" t="str">
        <f>IF(L!$B$249=1,L!B277,L!C277)</f>
        <v>ИТОГО</v>
      </c>
      <c r="B22" s="117">
        <f t="shared" ref="B22:M22" si="2">SUM(B16:B21)</f>
        <v>0</v>
      </c>
      <c r="C22" s="119">
        <f t="shared" si="2"/>
        <v>0</v>
      </c>
      <c r="D22" s="117">
        <f t="shared" si="2"/>
        <v>0</v>
      </c>
      <c r="E22" s="119">
        <f t="shared" si="2"/>
        <v>0</v>
      </c>
      <c r="F22" s="117">
        <f t="shared" si="2"/>
        <v>0</v>
      </c>
      <c r="G22" s="119">
        <f t="shared" si="2"/>
        <v>0</v>
      </c>
      <c r="H22" s="117">
        <f t="shared" si="2"/>
        <v>0</v>
      </c>
      <c r="I22" s="119">
        <f t="shared" si="2"/>
        <v>0</v>
      </c>
      <c r="J22" s="117">
        <f t="shared" si="2"/>
        <v>0</v>
      </c>
      <c r="K22" s="119">
        <f t="shared" si="2"/>
        <v>0</v>
      </c>
      <c r="L22" s="117">
        <f t="shared" si="2"/>
        <v>0</v>
      </c>
      <c r="M22" s="119">
        <f t="shared" si="2"/>
        <v>0</v>
      </c>
    </row>
    <row r="23" spans="1:13" ht="12" thickBot="1" x14ac:dyDescent="0.25">
      <c r="A23" s="120"/>
      <c r="B23" s="39" t="str">
        <f>IF(B22=B11,"","Итоги в I ≠ II")</f>
        <v/>
      </c>
      <c r="C23" s="39" t="str">
        <f t="shared" ref="C23:M23" si="3">IF(C22=C11,"","Итоги в I ≠ II")</f>
        <v/>
      </c>
      <c r="D23" s="39" t="str">
        <f t="shared" si="3"/>
        <v/>
      </c>
      <c r="E23" s="39" t="str">
        <f t="shared" si="3"/>
        <v/>
      </c>
      <c r="F23" s="39" t="str">
        <f t="shared" si="3"/>
        <v/>
      </c>
      <c r="G23" s="39" t="str">
        <f t="shared" si="3"/>
        <v/>
      </c>
      <c r="H23" s="39" t="str">
        <f t="shared" si="3"/>
        <v/>
      </c>
      <c r="I23" s="39" t="str">
        <f t="shared" si="3"/>
        <v/>
      </c>
      <c r="J23" s="39" t="str">
        <f t="shared" si="3"/>
        <v/>
      </c>
      <c r="K23" s="39" t="str">
        <f t="shared" si="3"/>
        <v/>
      </c>
      <c r="L23" s="39" t="str">
        <f t="shared" si="3"/>
        <v/>
      </c>
      <c r="M23" s="39" t="str">
        <f t="shared" si="3"/>
        <v/>
      </c>
    </row>
    <row r="24" spans="1:13" x14ac:dyDescent="0.2">
      <c r="A24" s="262"/>
      <c r="B24" s="968" t="str">
        <f>B14</f>
        <v/>
      </c>
      <c r="C24" s="969"/>
      <c r="D24" s="968" t="str">
        <f>D14</f>
        <v/>
      </c>
      <c r="E24" s="969"/>
      <c r="F24" s="968" t="str">
        <f>F14</f>
        <v/>
      </c>
      <c r="G24" s="969"/>
      <c r="H24" s="968" t="str">
        <f>H14</f>
        <v/>
      </c>
      <c r="I24" s="969"/>
      <c r="J24" s="968" t="str">
        <f>J14</f>
        <v/>
      </c>
      <c r="K24" s="969"/>
      <c r="L24" s="968">
        <f>L14</f>
        <v>0</v>
      </c>
      <c r="M24" s="969"/>
    </row>
    <row r="25" spans="1:13" ht="23.25" thickBot="1" x14ac:dyDescent="0.25">
      <c r="A25" s="344" t="str">
        <f>IF(L!$B$249=1,L!B279,L!C279)</f>
        <v xml:space="preserve">III. Объем кредитного портфеля в разрезе отраслей </v>
      </c>
      <c r="B25" s="114" t="str">
        <f>IF(L!$B$249=1,L!B255,L!C255)</f>
        <v>Сумма</v>
      </c>
      <c r="C25" s="115" t="str">
        <f>IF(L!$B$249=1,L!B257,L!C257)</f>
        <v>Кол-во кредитов</v>
      </c>
      <c r="D25" s="114" t="str">
        <f>IF(L!$B$249=1,L!B255,L!C255)</f>
        <v>Сумма</v>
      </c>
      <c r="E25" s="115" t="str">
        <f>IF(L!$B$249=1,L!B257,L!C257)</f>
        <v>Кол-во кредитов</v>
      </c>
      <c r="F25" s="114" t="str">
        <f>IF(L!$B$249=1,L!B255,L!C255)</f>
        <v>Сумма</v>
      </c>
      <c r="G25" s="115" t="str">
        <f>IF(L!$B$249=1,L!B257,L!C257)</f>
        <v>Кол-во кредитов</v>
      </c>
      <c r="H25" s="114" t="str">
        <f>IF(L!$B$249=1,L!B255,L!C255)</f>
        <v>Сумма</v>
      </c>
      <c r="I25" s="115" t="str">
        <f>IF(L!$B$249=1,L!B257,L!C257)</f>
        <v>Кол-во кредитов</v>
      </c>
      <c r="J25" s="114" t="str">
        <f>IF(L!$B$249=1,L!B255,L!C255)</f>
        <v>Сумма</v>
      </c>
      <c r="K25" s="115" t="str">
        <f>IF(L!$B$249=1,L!B257,L!C257)</f>
        <v>Кол-во кредитов</v>
      </c>
      <c r="L25" s="114" t="str">
        <f>IF(L!$B$249=1,L!B255,L!C255)</f>
        <v>Сумма</v>
      </c>
      <c r="M25" s="115" t="str">
        <f>IF(L!$B$249=1,L!B257,L!C257)</f>
        <v>Кол-во кредитов</v>
      </c>
    </row>
    <row r="26" spans="1:13" x14ac:dyDescent="0.2">
      <c r="A26" s="122" t="str">
        <f>IF(L!$B$249=1,L!B280,L!C280)</f>
        <v>Растениеводство</v>
      </c>
      <c r="B26" s="97"/>
      <c r="C26" s="402"/>
      <c r="D26" s="413"/>
      <c r="E26" s="402"/>
      <c r="F26" s="413"/>
      <c r="G26" s="402"/>
      <c r="H26" s="413"/>
      <c r="I26" s="402"/>
      <c r="J26" s="413"/>
      <c r="K26" s="402"/>
      <c r="L26" s="413"/>
      <c r="M26" s="419"/>
    </row>
    <row r="27" spans="1:13" x14ac:dyDescent="0.2">
      <c r="A27" s="123" t="str">
        <f>IF(L!$B$249=1,L!B281,L!C281)</f>
        <v>Животноводство</v>
      </c>
      <c r="B27" s="98"/>
      <c r="C27" s="403"/>
      <c r="D27" s="401"/>
      <c r="E27" s="403"/>
      <c r="F27" s="401"/>
      <c r="G27" s="403"/>
      <c r="H27" s="401"/>
      <c r="I27" s="403"/>
      <c r="J27" s="401"/>
      <c r="K27" s="403"/>
      <c r="L27" s="401"/>
      <c r="M27" s="420"/>
    </row>
    <row r="28" spans="1:13" x14ac:dyDescent="0.2">
      <c r="A28" s="123" t="str">
        <f>IF(L!$B$249=1,L!B282,L!C282)</f>
        <v>Производство</v>
      </c>
      <c r="B28" s="401"/>
      <c r="C28" s="403"/>
      <c r="D28" s="401"/>
      <c r="E28" s="403"/>
      <c r="F28" s="401"/>
      <c r="G28" s="403"/>
      <c r="H28" s="401"/>
      <c r="I28" s="403"/>
      <c r="J28" s="401"/>
      <c r="K28" s="403"/>
      <c r="L28" s="401"/>
      <c r="M28" s="420"/>
    </row>
    <row r="29" spans="1:13" x14ac:dyDescent="0.2">
      <c r="A29" s="123" t="str">
        <f>IF(L!$B$249=1,L!B283,L!C283)</f>
        <v>Торговля</v>
      </c>
      <c r="B29" s="401"/>
      <c r="C29" s="403"/>
      <c r="D29" s="401"/>
      <c r="E29" s="403"/>
      <c r="F29" s="401"/>
      <c r="G29" s="403"/>
      <c r="H29" s="401"/>
      <c r="I29" s="403"/>
      <c r="J29" s="401"/>
      <c r="K29" s="403"/>
      <c r="L29" s="401"/>
      <c r="M29" s="420"/>
    </row>
    <row r="30" spans="1:13" x14ac:dyDescent="0.2">
      <c r="A30" s="123" t="str">
        <f>IF(L!$B$249=1,L!B284,L!C284)</f>
        <v>Приобретение техники и оборудования</v>
      </c>
      <c r="B30" s="98"/>
      <c r="C30" s="99"/>
      <c r="D30" s="100"/>
      <c r="E30" s="102"/>
      <c r="F30" s="100"/>
      <c r="G30" s="104"/>
      <c r="H30" s="100"/>
      <c r="I30" s="104"/>
      <c r="J30" s="100"/>
      <c r="K30" s="104"/>
      <c r="L30" s="100"/>
      <c r="M30" s="104"/>
    </row>
    <row r="31" spans="1:13" x14ac:dyDescent="0.2">
      <c r="A31" s="123" t="str">
        <f>IF(L!$B$249=1,L!B285,L!C285)</f>
        <v>Ипотека</v>
      </c>
      <c r="B31" s="98"/>
      <c r="C31" s="99"/>
      <c r="D31" s="100"/>
      <c r="E31" s="102"/>
      <c r="F31" s="100"/>
      <c r="G31" s="104"/>
      <c r="H31" s="100"/>
      <c r="I31" s="104"/>
      <c r="J31" s="100"/>
      <c r="K31" s="104"/>
      <c r="L31" s="401"/>
      <c r="M31" s="420"/>
    </row>
    <row r="32" spans="1:13" x14ac:dyDescent="0.2">
      <c r="A32" s="123" t="str">
        <f>IF(L!$B$249=1,L!B286,L!C286)</f>
        <v>Потребительские кредиты</v>
      </c>
      <c r="B32" s="401"/>
      <c r="C32" s="403"/>
      <c r="D32" s="401"/>
      <c r="E32" s="403"/>
      <c r="F32" s="401"/>
      <c r="G32" s="403"/>
      <c r="H32" s="401"/>
      <c r="I32" s="403"/>
      <c r="J32" s="401"/>
      <c r="K32" s="403"/>
      <c r="L32" s="401"/>
      <c r="M32" s="420"/>
    </row>
    <row r="33" spans="1:13" x14ac:dyDescent="0.2">
      <c r="A33" s="123" t="str">
        <f>IF(L!$B$249=1,L!B287,L!C287)</f>
        <v>Образование/Здоровье/Непредвиденные случаи</v>
      </c>
      <c r="B33" s="98"/>
      <c r="C33" s="99"/>
      <c r="D33" s="100"/>
      <c r="E33" s="102"/>
      <c r="F33" s="100"/>
      <c r="G33" s="104"/>
      <c r="H33" s="100"/>
      <c r="I33" s="104"/>
      <c r="J33" s="100"/>
      <c r="K33" s="104"/>
      <c r="L33" s="100"/>
      <c r="M33" s="104"/>
    </row>
    <row r="34" spans="1:13" x14ac:dyDescent="0.2">
      <c r="A34" s="123" t="str">
        <f>IF(L!$B$249=1,L!B288,L!C288)</f>
        <v>Сферауслуг</v>
      </c>
      <c r="B34" s="401"/>
      <c r="C34" s="403"/>
      <c r="D34" s="401"/>
      <c r="E34" s="403"/>
      <c r="F34" s="401"/>
      <c r="G34" s="403"/>
      <c r="H34" s="401"/>
      <c r="I34" s="403"/>
      <c r="J34" s="401"/>
      <c r="K34" s="403"/>
      <c r="L34" s="401"/>
      <c r="M34" s="420"/>
    </row>
    <row r="35" spans="1:13" x14ac:dyDescent="0.2">
      <c r="A35" s="123" t="str">
        <f>IF(L!$B$249=1,L!B289,L!C289)</f>
        <v>Прочее</v>
      </c>
      <c r="B35" s="401"/>
      <c r="C35" s="403"/>
      <c r="D35" s="100"/>
      <c r="E35" s="102"/>
      <c r="F35" s="401"/>
      <c r="G35" s="403"/>
      <c r="H35" s="401"/>
      <c r="I35" s="403"/>
      <c r="J35" s="401"/>
      <c r="K35" s="403"/>
      <c r="L35" s="401"/>
      <c r="M35" s="420"/>
    </row>
    <row r="36" spans="1:13" ht="12" thickBot="1" x14ac:dyDescent="0.25">
      <c r="A36" s="124" t="str">
        <f>IF(L!$B$249=1,L!B290,L!C290)</f>
        <v>ИТОГО</v>
      </c>
      <c r="B36" s="125">
        <f t="shared" ref="B36:M36" si="4">SUM(B26:B35)</f>
        <v>0</v>
      </c>
      <c r="C36" s="126">
        <f t="shared" si="4"/>
        <v>0</v>
      </c>
      <c r="D36" s="128">
        <f t="shared" si="4"/>
        <v>0</v>
      </c>
      <c r="E36" s="126">
        <f t="shared" si="4"/>
        <v>0</v>
      </c>
      <c r="F36" s="128">
        <f t="shared" si="4"/>
        <v>0</v>
      </c>
      <c r="G36" s="129">
        <f t="shared" si="4"/>
        <v>0</v>
      </c>
      <c r="H36" s="128">
        <f t="shared" si="4"/>
        <v>0</v>
      </c>
      <c r="I36" s="129">
        <f t="shared" si="4"/>
        <v>0</v>
      </c>
      <c r="J36" s="128">
        <f t="shared" si="4"/>
        <v>0</v>
      </c>
      <c r="K36" s="129">
        <f t="shared" si="4"/>
        <v>0</v>
      </c>
      <c r="L36" s="128">
        <f t="shared" si="4"/>
        <v>0</v>
      </c>
      <c r="M36" s="129">
        <f t="shared" si="4"/>
        <v>0</v>
      </c>
    </row>
    <row r="37" spans="1:13" ht="12" thickBot="1" x14ac:dyDescent="0.25">
      <c r="A37" s="190"/>
      <c r="B37" s="39" t="str">
        <f>IF(B36=B22,"","Итоги в II ≠ III")</f>
        <v/>
      </c>
      <c r="C37" s="39" t="str">
        <f t="shared" ref="C37:M37" si="5">IF(C36=C22,"","Итоги в II ≠ III")</f>
        <v/>
      </c>
      <c r="D37" s="39" t="str">
        <f t="shared" si="5"/>
        <v/>
      </c>
      <c r="E37" s="39" t="str">
        <f t="shared" si="5"/>
        <v/>
      </c>
      <c r="F37" s="39" t="str">
        <f t="shared" si="5"/>
        <v/>
      </c>
      <c r="G37" s="39" t="str">
        <f t="shared" si="5"/>
        <v/>
      </c>
      <c r="H37" s="39" t="str">
        <f t="shared" si="5"/>
        <v/>
      </c>
      <c r="I37" s="39" t="str">
        <f t="shared" si="5"/>
        <v/>
      </c>
      <c r="J37" s="39" t="str">
        <f t="shared" si="5"/>
        <v/>
      </c>
      <c r="K37" s="39" t="str">
        <f t="shared" si="5"/>
        <v/>
      </c>
      <c r="L37" s="39" t="str">
        <f t="shared" si="5"/>
        <v/>
      </c>
      <c r="M37" s="39" t="str">
        <f t="shared" si="5"/>
        <v/>
      </c>
    </row>
    <row r="38" spans="1:13" x14ac:dyDescent="0.2">
      <c r="A38" s="265"/>
      <c r="B38" s="968" t="str">
        <f>B24</f>
        <v/>
      </c>
      <c r="C38" s="969"/>
      <c r="D38" s="968" t="str">
        <f>D24</f>
        <v/>
      </c>
      <c r="E38" s="969"/>
      <c r="F38" s="968" t="str">
        <f>F24</f>
        <v/>
      </c>
      <c r="G38" s="969"/>
      <c r="H38" s="968" t="str">
        <f>H24</f>
        <v/>
      </c>
      <c r="I38" s="969"/>
      <c r="J38" s="968" t="str">
        <f>J24</f>
        <v/>
      </c>
      <c r="K38" s="969"/>
      <c r="L38" s="968">
        <f>L24</f>
        <v>0</v>
      </c>
      <c r="M38" s="969"/>
    </row>
    <row r="39" spans="1:13" ht="34.5" thickBot="1" x14ac:dyDescent="0.25">
      <c r="A39" s="263" t="str">
        <f>IF(L!$B$249=1,L!B292,L!C292)</f>
        <v xml:space="preserve"> IV. Объем кредитного портфеля в разрезе размеров кредитов (эквивалент в нац. валюте):</v>
      </c>
      <c r="B39" s="273" t="str">
        <f>IF(L!$B$249=1,L!B255,L!C255)</f>
        <v>Сумма</v>
      </c>
      <c r="C39" s="278" t="str">
        <f>IF(L!$B$249=1,L!B257,L!C257)</f>
        <v>Кол-во кредитов</v>
      </c>
      <c r="D39" s="268" t="str">
        <f>IF(L!$B$249=1,L!B255,L!C255)</f>
        <v>Сумма</v>
      </c>
      <c r="E39" s="278" t="str">
        <f>IF(L!$B$249=1,L!B257,L!C257)</f>
        <v>Кол-во кредитов</v>
      </c>
      <c r="F39" s="268" t="str">
        <f>IF(L!$B$249=1,L!B255,L!C255)</f>
        <v>Сумма</v>
      </c>
      <c r="G39" s="269" t="str">
        <f>IF(L!$B$249=1,L!B257,L!C257)</f>
        <v>Кол-во кредитов</v>
      </c>
      <c r="H39" s="268" t="str">
        <f>IF(L!$B$249=1,L!B255,L!C255)</f>
        <v>Сумма</v>
      </c>
      <c r="I39" s="269" t="str">
        <f>IF(L!$B$249=1,L!B257,L!C257)</f>
        <v>Кол-во кредитов</v>
      </c>
      <c r="J39" s="268" t="str">
        <f>IF(L!$B$249=1,L!B255,L!C255)</f>
        <v>Сумма</v>
      </c>
      <c r="K39" s="269" t="str">
        <f>IF(L!$B$249=1,L!B257,L!C257)</f>
        <v>Кол-во кредитов</v>
      </c>
      <c r="L39" s="268" t="str">
        <f>IF(L!$B$249=1,L!B255,L!C255)</f>
        <v>Сумма</v>
      </c>
      <c r="M39" s="269" t="str">
        <f>IF(L!$B$249=1,L!B257,L!C257)</f>
        <v>Кол-во кредитов</v>
      </c>
    </row>
    <row r="40" spans="1:13" x14ac:dyDescent="0.2">
      <c r="A40" s="279" t="str">
        <f>IF(L!$B$249=1,L!B293,L!C293)</f>
        <v>менее 500 долл.США</v>
      </c>
      <c r="B40" s="404"/>
      <c r="C40" s="406"/>
      <c r="D40" s="404"/>
      <c r="E40" s="406"/>
      <c r="F40" s="414"/>
      <c r="G40" s="415"/>
      <c r="H40" s="414"/>
      <c r="I40" s="415"/>
      <c r="J40" s="414"/>
      <c r="K40" s="415"/>
      <c r="L40" s="414"/>
      <c r="M40" s="422"/>
    </row>
    <row r="41" spans="1:13" x14ac:dyDescent="0.2">
      <c r="A41" s="197" t="str">
        <f>IF(L!$B$249=1,L!B294,L!C294)</f>
        <v>от 501 - 1000 долл.США</v>
      </c>
      <c r="B41" s="405"/>
      <c r="C41" s="407"/>
      <c r="D41" s="405"/>
      <c r="E41" s="407"/>
      <c r="F41" s="405"/>
      <c r="G41" s="416"/>
      <c r="H41" s="405"/>
      <c r="I41" s="416"/>
      <c r="J41" s="405"/>
      <c r="K41" s="416"/>
      <c r="L41" s="405"/>
      <c r="M41" s="423"/>
    </row>
    <row r="42" spans="1:13" x14ac:dyDescent="0.2">
      <c r="A42" s="197" t="str">
        <f>IF(L!$B$249=1,L!B295,L!C295)</f>
        <v>от 1001 - 5000 долл.США</v>
      </c>
      <c r="B42" s="405"/>
      <c r="C42" s="407"/>
      <c r="D42" s="405"/>
      <c r="E42" s="407"/>
      <c r="F42" s="405"/>
      <c r="G42" s="416"/>
      <c r="H42" s="405"/>
      <c r="I42" s="416"/>
      <c r="J42" s="405"/>
      <c r="K42" s="416"/>
      <c r="L42" s="405"/>
      <c r="M42" s="423"/>
    </row>
    <row r="43" spans="1:13" x14ac:dyDescent="0.2">
      <c r="A43" s="197" t="str">
        <f>IF(L!$B$249=1,L!B296,L!C296)</f>
        <v>от 5001 - 10000 долл.США</v>
      </c>
      <c r="B43" s="405"/>
      <c r="C43" s="407"/>
      <c r="D43" s="405"/>
      <c r="E43" s="407"/>
      <c r="F43" s="405"/>
      <c r="G43" s="416"/>
      <c r="H43" s="405"/>
      <c r="I43" s="416"/>
      <c r="J43" s="405"/>
      <c r="K43" s="416"/>
      <c r="L43" s="405"/>
      <c r="M43" s="423"/>
    </row>
    <row r="44" spans="1:13" x14ac:dyDescent="0.2">
      <c r="A44" s="197" t="str">
        <f>IF(L!$B$249=1,L!B297,L!C297)</f>
        <v>более 10000 долл.США</v>
      </c>
      <c r="B44" s="405"/>
      <c r="C44" s="407"/>
      <c r="D44" s="405"/>
      <c r="E44" s="407"/>
      <c r="F44" s="101"/>
      <c r="G44" s="105"/>
      <c r="H44" s="101"/>
      <c r="I44" s="105"/>
      <c r="J44" s="405"/>
      <c r="K44" s="416"/>
      <c r="L44" s="405"/>
      <c r="M44" s="423"/>
    </row>
    <row r="45" spans="1:13" ht="12" thickBot="1" x14ac:dyDescent="0.25">
      <c r="A45" s="198" t="str">
        <f>IF(L!$B$249=1,L!B298,L!C298)</f>
        <v>ИТОГО</v>
      </c>
      <c r="B45" s="128">
        <f t="shared" ref="B45:G45" si="6">SUM(B40:B44)</f>
        <v>0</v>
      </c>
      <c r="C45" s="127">
        <f t="shared" si="6"/>
        <v>0</v>
      </c>
      <c r="D45" s="128">
        <f t="shared" si="6"/>
        <v>0</v>
      </c>
      <c r="E45" s="127">
        <f t="shared" si="6"/>
        <v>0</v>
      </c>
      <c r="F45" s="128">
        <f t="shared" si="6"/>
        <v>0</v>
      </c>
      <c r="G45" s="129">
        <f t="shared" si="6"/>
        <v>0</v>
      </c>
      <c r="H45" s="128">
        <f t="shared" ref="H45:M45" si="7">SUM(H40:H44)</f>
        <v>0</v>
      </c>
      <c r="I45" s="129">
        <f t="shared" si="7"/>
        <v>0</v>
      </c>
      <c r="J45" s="128">
        <f t="shared" si="7"/>
        <v>0</v>
      </c>
      <c r="K45" s="129">
        <f t="shared" si="7"/>
        <v>0</v>
      </c>
      <c r="L45" s="128">
        <f t="shared" si="7"/>
        <v>0</v>
      </c>
      <c r="M45" s="129">
        <f t="shared" si="7"/>
        <v>0</v>
      </c>
    </row>
    <row r="46" spans="1:13" ht="12" thickBot="1" x14ac:dyDescent="0.25">
      <c r="A46" s="190"/>
      <c r="B46" s="39" t="str">
        <f>IF(B45=B36,"","Итоги в III ≠ IV")</f>
        <v/>
      </c>
      <c r="C46" s="39" t="str">
        <f t="shared" ref="C46:M46" si="8">IF(C45=C36,"","Итоги в III ≠ IV")</f>
        <v/>
      </c>
      <c r="D46" s="39" t="str">
        <f t="shared" si="8"/>
        <v/>
      </c>
      <c r="E46" s="39" t="str">
        <f t="shared" si="8"/>
        <v/>
      </c>
      <c r="F46" s="39" t="str">
        <f t="shared" si="8"/>
        <v/>
      </c>
      <c r="G46" s="39" t="str">
        <f t="shared" si="8"/>
        <v/>
      </c>
      <c r="H46" s="39" t="str">
        <f t="shared" si="8"/>
        <v/>
      </c>
      <c r="I46" s="39" t="str">
        <f t="shared" si="8"/>
        <v/>
      </c>
      <c r="J46" s="39" t="str">
        <f t="shared" si="8"/>
        <v/>
      </c>
      <c r="K46" s="39" t="str">
        <f t="shared" si="8"/>
        <v/>
      </c>
      <c r="L46" s="39" t="str">
        <f t="shared" si="8"/>
        <v/>
      </c>
      <c r="M46" s="39" t="str">
        <f t="shared" si="8"/>
        <v/>
      </c>
    </row>
    <row r="47" spans="1:13" x14ac:dyDescent="0.2">
      <c r="A47" s="190"/>
      <c r="B47" s="968" t="str">
        <f>B38</f>
        <v/>
      </c>
      <c r="C47" s="969"/>
      <c r="D47" s="968" t="str">
        <f>D38</f>
        <v/>
      </c>
      <c r="E47" s="969"/>
      <c r="F47" s="968" t="str">
        <f>F38</f>
        <v/>
      </c>
      <c r="G47" s="969"/>
      <c r="H47" s="968" t="str">
        <f>H38</f>
        <v/>
      </c>
      <c r="I47" s="969"/>
      <c r="J47" s="968" t="str">
        <f>J38</f>
        <v/>
      </c>
      <c r="K47" s="969"/>
      <c r="L47" s="968">
        <f>L38</f>
        <v>0</v>
      </c>
      <c r="M47" s="969"/>
    </row>
    <row r="48" spans="1:13" ht="23.25" thickBot="1" x14ac:dyDescent="0.25">
      <c r="A48" s="266" t="str">
        <f>IF(L!$B$249=1,L!B300,L!C300)</f>
        <v>V. Объем кредитного портфеля в разрезе сроков кредитования  </v>
      </c>
      <c r="B48" s="268" t="str">
        <f>IF(L!$B$249=1,L!B255,L!C255)</f>
        <v>Сумма</v>
      </c>
      <c r="C48" s="278" t="str">
        <f>IF(L!$B$249=1,L!B257,L!C257)</f>
        <v>Кол-во кредитов</v>
      </c>
      <c r="D48" s="268" t="str">
        <f>IF(L!$B$249=1,L!B255,L!C255)</f>
        <v>Сумма</v>
      </c>
      <c r="E48" s="278" t="str">
        <f>IF(L!$B$249=1,L!B257,L!C257)</f>
        <v>Кол-во кредитов</v>
      </c>
      <c r="F48" s="268" t="str">
        <f>IF(L!$B$249=1,L!B255,L!C255)</f>
        <v>Сумма</v>
      </c>
      <c r="G48" s="269" t="str">
        <f>IF(L!$B$249=1,L!B257,L!C257)</f>
        <v>Кол-во кредитов</v>
      </c>
      <c r="H48" s="268" t="str">
        <f>IF(L!$B$249=1,L!B255,L!C255)</f>
        <v>Сумма</v>
      </c>
      <c r="I48" s="269" t="str">
        <f>IF(L!$B$249=1,L!B257,L!C257)</f>
        <v>Кол-во кредитов</v>
      </c>
      <c r="J48" s="268" t="str">
        <f>IF(L!$B$249=1,L!B255,L!C255)</f>
        <v>Сумма</v>
      </c>
      <c r="K48" s="269" t="str">
        <f>IF(L!$B$249=1,L!B257,L!C257)</f>
        <v>Кол-во кредитов</v>
      </c>
      <c r="L48" s="268" t="str">
        <f>IF(L!$B$249=1,L!B255,L!C255)</f>
        <v>Сумма</v>
      </c>
      <c r="M48" s="269" t="str">
        <f>IF(L!$B$249=1,L!B257,L!C257)</f>
        <v>Кол-во кредитов</v>
      </c>
    </row>
    <row r="49" spans="1:13" x14ac:dyDescent="0.2">
      <c r="A49" s="196" t="str">
        <f>IF(L!$B$249=1,L!B301,L!C301)</f>
        <v>менее 3 месяцев</v>
      </c>
      <c r="B49" s="656"/>
      <c r="C49" s="419"/>
      <c r="D49" s="408"/>
      <c r="E49" s="402"/>
      <c r="F49" s="417"/>
      <c r="G49" s="418"/>
      <c r="H49" s="417"/>
      <c r="I49" s="418"/>
      <c r="J49" s="417"/>
      <c r="K49" s="418"/>
      <c r="L49" s="417"/>
      <c r="M49" s="421"/>
    </row>
    <row r="50" spans="1:13" x14ac:dyDescent="0.2">
      <c r="A50" s="197" t="str">
        <f>IF(L!$B$249=1,L!B302,L!C302)</f>
        <v>от 3-6 месяцев</v>
      </c>
      <c r="B50" s="401"/>
      <c r="C50" s="420"/>
      <c r="D50" s="409"/>
      <c r="E50" s="403"/>
      <c r="F50" s="401"/>
      <c r="G50" s="410"/>
      <c r="H50" s="401"/>
      <c r="I50" s="410"/>
      <c r="J50" s="401"/>
      <c r="K50" s="410"/>
      <c r="L50" s="401"/>
      <c r="M50" s="420"/>
    </row>
    <row r="51" spans="1:13" x14ac:dyDescent="0.2">
      <c r="A51" s="197" t="str">
        <f>IF(L!$B$249=1,L!B303,L!C303)</f>
        <v>от 6-12 месяцев</v>
      </c>
      <c r="B51" s="401"/>
      <c r="C51" s="420"/>
      <c r="D51" s="409"/>
      <c r="E51" s="403"/>
      <c r="F51" s="401"/>
      <c r="G51" s="410"/>
      <c r="H51" s="401"/>
      <c r="I51" s="410"/>
      <c r="J51" s="401"/>
      <c r="K51" s="410"/>
      <c r="L51" s="401"/>
      <c r="M51" s="420"/>
    </row>
    <row r="52" spans="1:13" x14ac:dyDescent="0.2">
      <c r="A52" s="197" t="str">
        <f>IF(L!$B$249=1,L!B304,L!C304)</f>
        <v>от 12-24 месяцев</v>
      </c>
      <c r="B52" s="401"/>
      <c r="C52" s="420"/>
      <c r="D52" s="409"/>
      <c r="E52" s="403"/>
      <c r="F52" s="401"/>
      <c r="G52" s="410"/>
      <c r="H52" s="401"/>
      <c r="I52" s="410"/>
      <c r="J52" s="401"/>
      <c r="K52" s="410"/>
      <c r="L52" s="401"/>
      <c r="M52" s="420"/>
    </row>
    <row r="53" spans="1:13" x14ac:dyDescent="0.2">
      <c r="A53" s="197" t="str">
        <f>IF(L!$B$249=1,L!B305,L!C305)</f>
        <v>от 24-36 месяцев</v>
      </c>
      <c r="B53" s="401"/>
      <c r="C53" s="420"/>
      <c r="D53" s="409"/>
      <c r="E53" s="410"/>
      <c r="F53" s="401"/>
      <c r="G53" s="410"/>
      <c r="H53" s="401"/>
      <c r="I53" s="410"/>
      <c r="J53" s="401"/>
      <c r="K53" s="410"/>
      <c r="L53" s="401"/>
      <c r="M53" s="420"/>
    </row>
    <row r="54" spans="1:13" x14ac:dyDescent="0.2">
      <c r="A54" s="197" t="str">
        <f>IF(L!$B$249=1,L!B306,L!C306)</f>
        <v>более 36 месяцев</v>
      </c>
      <c r="B54" s="100"/>
      <c r="C54" s="104"/>
      <c r="D54" s="98"/>
      <c r="E54" s="103"/>
      <c r="F54" s="100"/>
      <c r="G54" s="410"/>
      <c r="H54" s="401"/>
      <c r="I54" s="410"/>
      <c r="J54" s="401"/>
      <c r="K54" s="410"/>
      <c r="L54" s="401"/>
      <c r="M54" s="420"/>
    </row>
    <row r="55" spans="1:13" ht="12" thickBot="1" x14ac:dyDescent="0.25">
      <c r="A55" s="198" t="str">
        <f>IF(L!$B$249=1,L!B307,L!C307)</f>
        <v>ИТОГО</v>
      </c>
      <c r="B55" s="128">
        <f t="shared" ref="B55:G55" si="9">SUM(B49:B54)</f>
        <v>0</v>
      </c>
      <c r="C55" s="129">
        <f t="shared" si="9"/>
        <v>0</v>
      </c>
      <c r="D55" s="125">
        <f t="shared" si="9"/>
        <v>0</v>
      </c>
      <c r="E55" s="127">
        <f t="shared" si="9"/>
        <v>0</v>
      </c>
      <c r="F55" s="128">
        <f t="shared" si="9"/>
        <v>0</v>
      </c>
      <c r="G55" s="129">
        <f t="shared" si="9"/>
        <v>0</v>
      </c>
      <c r="H55" s="128">
        <f t="shared" ref="H55:M55" si="10">SUM(H49:H54)</f>
        <v>0</v>
      </c>
      <c r="I55" s="129">
        <f t="shared" si="10"/>
        <v>0</v>
      </c>
      <c r="J55" s="128">
        <f t="shared" si="10"/>
        <v>0</v>
      </c>
      <c r="K55" s="129">
        <f t="shared" si="10"/>
        <v>0</v>
      </c>
      <c r="L55" s="128">
        <f t="shared" si="10"/>
        <v>0</v>
      </c>
      <c r="M55" s="129">
        <f t="shared" si="10"/>
        <v>0</v>
      </c>
    </row>
    <row r="56" spans="1:13" ht="12" thickBot="1" x14ac:dyDescent="0.25">
      <c r="A56" s="190"/>
      <c r="B56" s="39" t="str">
        <f>IF(B55=B45,"","Итоги в IV ≠ V")</f>
        <v/>
      </c>
      <c r="C56" s="39" t="str">
        <f t="shared" ref="C56:M56" si="11">IF(C55=C45,"","Итоги в IV ≠ V")</f>
        <v/>
      </c>
      <c r="D56" s="39" t="str">
        <f t="shared" si="11"/>
        <v/>
      </c>
      <c r="E56" s="39" t="str">
        <f t="shared" si="11"/>
        <v/>
      </c>
      <c r="F56" s="39" t="str">
        <f t="shared" si="11"/>
        <v/>
      </c>
      <c r="G56" s="39" t="str">
        <f t="shared" si="11"/>
        <v/>
      </c>
      <c r="H56" s="39" t="str">
        <f t="shared" si="11"/>
        <v/>
      </c>
      <c r="I56" s="39" t="str">
        <f t="shared" si="11"/>
        <v/>
      </c>
      <c r="J56" s="39" t="str">
        <f t="shared" si="11"/>
        <v/>
      </c>
      <c r="K56" s="39" t="str">
        <f t="shared" si="11"/>
        <v/>
      </c>
      <c r="L56" s="39" t="str">
        <f t="shared" si="11"/>
        <v/>
      </c>
      <c r="M56" s="39" t="str">
        <f t="shared" si="11"/>
        <v/>
      </c>
    </row>
    <row r="57" spans="1:13" x14ac:dyDescent="0.2">
      <c r="A57" s="190"/>
      <c r="B57" s="968" t="str">
        <f>B47</f>
        <v/>
      </c>
      <c r="C57" s="969"/>
      <c r="D57" s="968" t="str">
        <f>D47</f>
        <v/>
      </c>
      <c r="E57" s="969"/>
      <c r="F57" s="968" t="str">
        <f>F47</f>
        <v/>
      </c>
      <c r="G57" s="969"/>
      <c r="H57" s="968" t="str">
        <f>H47</f>
        <v/>
      </c>
      <c r="I57" s="969"/>
      <c r="J57" s="968" t="str">
        <f>J47</f>
        <v/>
      </c>
      <c r="K57" s="969"/>
      <c r="L57" s="968">
        <f>L47</f>
        <v>0</v>
      </c>
      <c r="M57" s="969"/>
    </row>
    <row r="58" spans="1:13" ht="23.25" thickBot="1" x14ac:dyDescent="0.25">
      <c r="A58" s="266" t="str">
        <f>IF(L!$B$249=1,L!B309,L!C309)</f>
        <v>VI. Объем кредитного портфеля в разрезе обеспечения</v>
      </c>
      <c r="B58" s="268" t="str">
        <f>IF(L!$B$249=1,L!B255,L!C255)</f>
        <v>Сумма</v>
      </c>
      <c r="C58" s="269" t="str">
        <f>IF(L!$B$249=1,L!B257,L!C257)</f>
        <v>Кол-во кредитов</v>
      </c>
      <c r="D58" s="268" t="str">
        <f>IF(L!$B$249=1,L!B255,L!C255)</f>
        <v>Сумма</v>
      </c>
      <c r="E58" s="269" t="str">
        <f>IF(L!$B$249=1,L!B257,L!C257)</f>
        <v>Кол-во кредитов</v>
      </c>
      <c r="F58" s="268" t="str">
        <f>IF(L!$B$249=1,L!B255,L!C255)</f>
        <v>Сумма</v>
      </c>
      <c r="G58" s="269" t="str">
        <f>IF(L!$B$249=1,L!B257,L!C257)</f>
        <v>Кол-во кредитов</v>
      </c>
      <c r="H58" s="268" t="str">
        <f>IF(L!$B$249=1,L!B255,L!C255)</f>
        <v>Сумма</v>
      </c>
      <c r="I58" s="269" t="str">
        <f>IF(L!$B$249=1,L!B257,L!C257)</f>
        <v>Кол-во кредитов</v>
      </c>
      <c r="J58" s="268" t="str">
        <f>IF(L!$B$249=1,L!B255,L!C255)</f>
        <v>Сумма</v>
      </c>
      <c r="K58" s="269" t="str">
        <f>IF(L!$B$249=1,L!B257,L!C257)</f>
        <v>Кол-во кредитов</v>
      </c>
      <c r="L58" s="268" t="str">
        <f>IF(L!$B$249=1,L!B255,L!C255)</f>
        <v>Сумма</v>
      </c>
      <c r="M58" s="269" t="str">
        <f>IF(L!$B$249=1,L!B257,L!C257)</f>
        <v>Кол-во кредитов</v>
      </c>
    </row>
    <row r="59" spans="1:13" x14ac:dyDescent="0.2">
      <c r="A59" s="270" t="str">
        <f>IF(L!$B$249=1,L!B310,L!C310)</f>
        <v>Кредиты под залог недвижимости</v>
      </c>
      <c r="B59" s="411"/>
      <c r="C59" s="412"/>
      <c r="D59" s="411"/>
      <c r="E59" s="412"/>
      <c r="F59" s="411"/>
      <c r="G59" s="412"/>
      <c r="H59" s="411"/>
      <c r="I59" s="412"/>
      <c r="J59" s="411"/>
      <c r="K59" s="412"/>
      <c r="L59" s="411"/>
      <c r="M59" s="412"/>
    </row>
    <row r="60" spans="1:13" x14ac:dyDescent="0.2">
      <c r="A60" s="271" t="str">
        <f>IF(L!$B$249=1,L!B311,L!C311)</f>
        <v>Кредиты под залог движимого имущества</v>
      </c>
      <c r="B60" s="366"/>
      <c r="C60" s="371"/>
      <c r="D60" s="366"/>
      <c r="E60" s="371"/>
      <c r="F60" s="366"/>
      <c r="G60" s="371"/>
      <c r="H60" s="366"/>
      <c r="I60" s="371"/>
      <c r="J60" s="366"/>
      <c r="K60" s="371"/>
      <c r="L60" s="366"/>
      <c r="M60" s="371"/>
    </row>
    <row r="61" spans="1:13" x14ac:dyDescent="0.2">
      <c r="A61" s="271" t="str">
        <f>IF(L!$B$249=1,L!B312,L!C312)</f>
        <v>Кредиты под залог гарантий/поручительств</v>
      </c>
      <c r="B61" s="366"/>
      <c r="C61" s="371"/>
      <c r="D61" s="366"/>
      <c r="E61" s="371"/>
      <c r="F61" s="366"/>
      <c r="G61" s="371"/>
      <c r="H61" s="366"/>
      <c r="I61" s="371"/>
      <c r="J61" s="366"/>
      <c r="K61" s="371"/>
      <c r="L61" s="366"/>
      <c r="M61" s="371"/>
    </row>
    <row r="62" spans="1:13" x14ac:dyDescent="0.2">
      <c r="A62" s="271" t="str">
        <f>IF(L!$B$249=1,L!B313,L!C313)</f>
        <v>Беззалоговые кредиты</v>
      </c>
      <c r="B62" s="366"/>
      <c r="C62" s="371"/>
      <c r="D62" s="366"/>
      <c r="E62" s="371"/>
      <c r="F62" s="366"/>
      <c r="G62" s="371"/>
      <c r="H62" s="366"/>
      <c r="I62" s="371"/>
      <c r="J62" s="366"/>
      <c r="K62" s="371"/>
      <c r="L62" s="366"/>
      <c r="M62" s="371"/>
    </row>
    <row r="63" spans="1:13" s="108" customFormat="1" ht="12" thickBot="1" x14ac:dyDescent="0.25">
      <c r="A63" s="272" t="str">
        <f>IF(L!$B$249=1,L!B314,L!C314)</f>
        <v>ИТОГО</v>
      </c>
      <c r="B63" s="275">
        <f t="shared" ref="B63:M63" si="12">SUM(B59:B62)</f>
        <v>0</v>
      </c>
      <c r="C63" s="276">
        <f t="shared" si="12"/>
        <v>0</v>
      </c>
      <c r="D63" s="275">
        <f t="shared" si="12"/>
        <v>0</v>
      </c>
      <c r="E63" s="276">
        <f t="shared" si="12"/>
        <v>0</v>
      </c>
      <c r="F63" s="275">
        <f t="shared" si="12"/>
        <v>0</v>
      </c>
      <c r="G63" s="276">
        <f t="shared" si="12"/>
        <v>0</v>
      </c>
      <c r="H63" s="275">
        <f t="shared" si="12"/>
        <v>0</v>
      </c>
      <c r="I63" s="276">
        <f t="shared" si="12"/>
        <v>0</v>
      </c>
      <c r="J63" s="275">
        <f t="shared" si="12"/>
        <v>0</v>
      </c>
      <c r="K63" s="276">
        <f t="shared" si="12"/>
        <v>0</v>
      </c>
      <c r="L63" s="275">
        <f t="shared" si="12"/>
        <v>0</v>
      </c>
      <c r="M63" s="276">
        <f t="shared" si="12"/>
        <v>0</v>
      </c>
    </row>
    <row r="64" spans="1:13" ht="12" thickBot="1" x14ac:dyDescent="0.25">
      <c r="A64" s="264"/>
      <c r="B64" s="39" t="str">
        <f>IF(B63=B55,"","Итоги в V ≠ VI")</f>
        <v/>
      </c>
      <c r="C64" s="39" t="str">
        <f t="shared" ref="C64:M64" si="13">IF(C63=C55,"","Итоги в V ≠ VI")</f>
        <v/>
      </c>
      <c r="D64" s="39" t="str">
        <f t="shared" si="13"/>
        <v/>
      </c>
      <c r="E64" s="39" t="str">
        <f t="shared" si="13"/>
        <v/>
      </c>
      <c r="F64" s="39" t="str">
        <f t="shared" si="13"/>
        <v/>
      </c>
      <c r="G64" s="39" t="str">
        <f t="shared" si="13"/>
        <v/>
      </c>
      <c r="H64" s="39" t="str">
        <f t="shared" si="13"/>
        <v/>
      </c>
      <c r="I64" s="39" t="str">
        <f t="shared" si="13"/>
        <v/>
      </c>
      <c r="J64" s="39" t="str">
        <f t="shared" si="13"/>
        <v/>
      </c>
      <c r="K64" s="39" t="str">
        <f t="shared" si="13"/>
        <v/>
      </c>
      <c r="L64" s="39" t="str">
        <f t="shared" si="13"/>
        <v/>
      </c>
      <c r="M64" s="39" t="str">
        <f t="shared" si="13"/>
        <v/>
      </c>
    </row>
    <row r="65" spans="1:13" x14ac:dyDescent="0.2">
      <c r="A65" s="982" t="str">
        <f>IF(L!$B$249=1,L!B316,L!C316)</f>
        <v>VII. Объем кредитного портфеля в разрезе филиалов</v>
      </c>
      <c r="B65" s="968" t="str">
        <f>B57</f>
        <v/>
      </c>
      <c r="C65" s="969"/>
      <c r="D65" s="968" t="str">
        <f>D57</f>
        <v/>
      </c>
      <c r="E65" s="969"/>
      <c r="F65" s="968" t="str">
        <f>F57</f>
        <v/>
      </c>
      <c r="G65" s="969"/>
      <c r="H65" s="968" t="str">
        <f>H57</f>
        <v/>
      </c>
      <c r="I65" s="969"/>
      <c r="J65" s="968" t="str">
        <f>J57</f>
        <v/>
      </c>
      <c r="K65" s="969"/>
      <c r="L65" s="968">
        <f>L57</f>
        <v>0</v>
      </c>
      <c r="M65" s="969"/>
    </row>
    <row r="66" spans="1:13" ht="23.25" thickBot="1" x14ac:dyDescent="0.25">
      <c r="A66" s="983"/>
      <c r="B66" s="268" t="str">
        <f>IF(L!$B$249=1,L!B255,L!C255)</f>
        <v>Сумма</v>
      </c>
      <c r="C66" s="269" t="str">
        <f>IF(L!$B$249=1,L!B257,L!C257)</f>
        <v>Кол-во кредитов</v>
      </c>
      <c r="D66" s="268" t="str">
        <f>IF(L!$B$249=1,L!B255,L!C255)</f>
        <v>Сумма</v>
      </c>
      <c r="E66" s="269" t="str">
        <f>IF(L!$B$249=1,L!B257,L!C257)</f>
        <v>Кол-во кредитов</v>
      </c>
      <c r="F66" s="268" t="str">
        <f>IF(L!$B$249=1,L!B255,L!C255)</f>
        <v>Сумма</v>
      </c>
      <c r="G66" s="269" t="str">
        <f>IF(L!$B$249=1,L!B257,L!C257)</f>
        <v>Кол-во кредитов</v>
      </c>
      <c r="H66" s="268" t="str">
        <f>IF(L!$B$249=1,L!B255,L!C255)</f>
        <v>Сумма</v>
      </c>
      <c r="I66" s="269" t="str">
        <f>IF(L!$B$249=1,L!B257,L!C257)</f>
        <v>Кол-во кредитов</v>
      </c>
      <c r="J66" s="268" t="str">
        <f>IF(L!$B$249=1,L!B255,L!C255)</f>
        <v>Сумма</v>
      </c>
      <c r="K66" s="269" t="str">
        <f>IF(L!$B$249=1,L!B257,L!C257)</f>
        <v>Кол-во кредитов</v>
      </c>
      <c r="L66" s="268" t="str">
        <f>IF(L!$B$249=1,L!B255,L!C255)</f>
        <v>Сумма</v>
      </c>
      <c r="M66" s="269" t="str">
        <f>IF(L!$B$249=1,L!B257,L!C257)</f>
        <v>Кол-во кредитов</v>
      </c>
    </row>
    <row r="67" spans="1:13" x14ac:dyDescent="0.2">
      <c r="A67" s="285" t="s">
        <v>1042</v>
      </c>
      <c r="B67" s="274"/>
      <c r="C67" s="267"/>
      <c r="D67" s="274"/>
      <c r="E67" s="267"/>
      <c r="F67" s="274"/>
      <c r="G67" s="267"/>
      <c r="H67" s="411"/>
      <c r="I67" s="412"/>
      <c r="J67" s="411"/>
      <c r="K67" s="412"/>
      <c r="L67" s="411"/>
      <c r="M67" s="412"/>
    </row>
    <row r="68" spans="1:13" x14ac:dyDescent="0.2">
      <c r="A68" s="284" t="s">
        <v>1043</v>
      </c>
      <c r="B68" s="94"/>
      <c r="C68" s="96"/>
      <c r="D68" s="94"/>
      <c r="E68" s="96"/>
      <c r="F68" s="94"/>
      <c r="G68" s="96"/>
      <c r="H68" s="366"/>
      <c r="I68" s="371"/>
      <c r="J68" s="366"/>
      <c r="K68" s="371"/>
      <c r="L68" s="366"/>
      <c r="M68" s="371"/>
    </row>
    <row r="69" spans="1:13" x14ac:dyDescent="0.2">
      <c r="A69" s="284" t="s">
        <v>1044</v>
      </c>
      <c r="B69" s="94"/>
      <c r="C69" s="96"/>
      <c r="D69" s="94"/>
      <c r="E69" s="96"/>
      <c r="F69" s="94"/>
      <c r="G69" s="96"/>
      <c r="H69" s="366"/>
      <c r="I69" s="371"/>
      <c r="J69" s="366"/>
      <c r="K69" s="371"/>
      <c r="L69" s="366"/>
      <c r="M69" s="371"/>
    </row>
    <row r="70" spans="1:13" x14ac:dyDescent="0.2">
      <c r="A70" s="284" t="s">
        <v>1045</v>
      </c>
      <c r="B70" s="94"/>
      <c r="C70" s="96"/>
      <c r="D70" s="94"/>
      <c r="E70" s="96"/>
      <c r="F70" s="94"/>
      <c r="G70" s="96"/>
      <c r="H70" s="366"/>
      <c r="I70" s="371"/>
      <c r="J70" s="366"/>
      <c r="K70" s="371"/>
      <c r="L70" s="366"/>
      <c r="M70" s="371"/>
    </row>
    <row r="71" spans="1:13" x14ac:dyDescent="0.2">
      <c r="A71" s="284" t="s">
        <v>1046</v>
      </c>
      <c r="B71" s="94"/>
      <c r="C71" s="96"/>
      <c r="D71" s="94"/>
      <c r="E71" s="96"/>
      <c r="F71" s="94"/>
      <c r="G71" s="96"/>
      <c r="H71" s="366"/>
      <c r="I71" s="371"/>
      <c r="J71" s="366"/>
      <c r="K71" s="371"/>
      <c r="L71" s="366"/>
      <c r="M71" s="371"/>
    </row>
    <row r="72" spans="1:13" x14ac:dyDescent="0.2">
      <c r="A72" s="284" t="s">
        <v>1047</v>
      </c>
      <c r="B72" s="94"/>
      <c r="C72" s="96"/>
      <c r="D72" s="94"/>
      <c r="E72" s="96"/>
      <c r="F72" s="94"/>
      <c r="G72" s="96"/>
      <c r="H72" s="366"/>
      <c r="I72" s="371"/>
      <c r="J72" s="366"/>
      <c r="K72" s="371"/>
      <c r="L72" s="366"/>
      <c r="M72" s="371"/>
    </row>
    <row r="73" spans="1:13" x14ac:dyDescent="0.2">
      <c r="A73" s="284" t="s">
        <v>1048</v>
      </c>
      <c r="B73" s="94"/>
      <c r="C73" s="96"/>
      <c r="D73" s="94"/>
      <c r="E73" s="96"/>
      <c r="F73" s="94"/>
      <c r="G73" s="96"/>
      <c r="H73" s="366"/>
      <c r="I73" s="371"/>
      <c r="J73" s="366"/>
      <c r="K73" s="371"/>
      <c r="L73" s="366"/>
      <c r="M73" s="371"/>
    </row>
    <row r="74" spans="1:13" x14ac:dyDescent="0.2">
      <c r="A74" s="284">
        <f>Заявка!A74</f>
        <v>0</v>
      </c>
      <c r="B74" s="94"/>
      <c r="C74" s="96"/>
      <c r="D74" s="94"/>
      <c r="E74" s="96"/>
      <c r="F74" s="94"/>
      <c r="G74" s="96"/>
      <c r="H74" s="94"/>
      <c r="I74" s="96"/>
      <c r="J74" s="94"/>
      <c r="K74" s="96"/>
      <c r="L74" s="94"/>
      <c r="M74" s="96"/>
    </row>
    <row r="75" spans="1:13" x14ac:dyDescent="0.2">
      <c r="A75" s="284">
        <f>Заявка!A75</f>
        <v>0</v>
      </c>
      <c r="B75" s="94"/>
      <c r="C75" s="96"/>
      <c r="D75" s="94"/>
      <c r="E75" s="96"/>
      <c r="F75" s="94"/>
      <c r="G75" s="96"/>
      <c r="H75" s="94"/>
      <c r="I75" s="96"/>
      <c r="J75" s="94"/>
      <c r="K75" s="96"/>
      <c r="L75" s="94"/>
      <c r="M75" s="96"/>
    </row>
    <row r="76" spans="1:13" x14ac:dyDescent="0.2">
      <c r="A76" s="284">
        <f>Заявка!A76</f>
        <v>0</v>
      </c>
      <c r="B76" s="94"/>
      <c r="C76" s="96"/>
      <c r="D76" s="94"/>
      <c r="E76" s="96"/>
      <c r="F76" s="94"/>
      <c r="G76" s="96"/>
      <c r="H76" s="94"/>
      <c r="I76" s="96"/>
      <c r="J76" s="94"/>
      <c r="K76" s="96"/>
      <c r="L76" s="94"/>
      <c r="M76" s="96"/>
    </row>
    <row r="77" spans="1:13" x14ac:dyDescent="0.2">
      <c r="A77" s="284">
        <f>Заявка!A77</f>
        <v>0</v>
      </c>
      <c r="B77" s="94"/>
      <c r="C77" s="96"/>
      <c r="D77" s="94"/>
      <c r="E77" s="96"/>
      <c r="F77" s="94"/>
      <c r="G77" s="96"/>
      <c r="H77" s="94"/>
      <c r="I77" s="96"/>
      <c r="J77" s="94"/>
      <c r="K77" s="96"/>
      <c r="L77" s="94"/>
      <c r="M77" s="96"/>
    </row>
    <row r="78" spans="1:13" x14ac:dyDescent="0.2">
      <c r="A78" s="284">
        <f>Заявка!A78</f>
        <v>0</v>
      </c>
      <c r="B78" s="94"/>
      <c r="C78" s="96"/>
      <c r="D78" s="94"/>
      <c r="E78" s="96"/>
      <c r="F78" s="94"/>
      <c r="G78" s="96"/>
      <c r="H78" s="94"/>
      <c r="I78" s="96"/>
      <c r="J78" s="94"/>
      <c r="K78" s="96"/>
      <c r="L78" s="94"/>
      <c r="M78" s="96"/>
    </row>
    <row r="79" spans="1:13" x14ac:dyDescent="0.2">
      <c r="A79" s="284">
        <f>Заявка!A79</f>
        <v>0</v>
      </c>
      <c r="B79" s="94"/>
      <c r="C79" s="96"/>
      <c r="D79" s="94"/>
      <c r="E79" s="96"/>
      <c r="F79" s="94"/>
      <c r="G79" s="96"/>
      <c r="H79" s="94"/>
      <c r="I79" s="96"/>
      <c r="J79" s="94"/>
      <c r="K79" s="96"/>
      <c r="L79" s="94"/>
      <c r="M79" s="96"/>
    </row>
    <row r="80" spans="1:13" x14ac:dyDescent="0.2">
      <c r="A80" s="284">
        <f>Заявка!A80</f>
        <v>0</v>
      </c>
      <c r="B80" s="94"/>
      <c r="C80" s="96"/>
      <c r="D80" s="94"/>
      <c r="E80" s="96"/>
      <c r="F80" s="94"/>
      <c r="G80" s="96"/>
      <c r="H80" s="94"/>
      <c r="I80" s="96"/>
      <c r="J80" s="94"/>
      <c r="K80" s="96"/>
      <c r="L80" s="94"/>
      <c r="M80" s="96"/>
    </row>
    <row r="81" spans="1:13" x14ac:dyDescent="0.2">
      <c r="A81" s="284">
        <f>Заявка!A81</f>
        <v>0</v>
      </c>
      <c r="B81" s="94"/>
      <c r="C81" s="96"/>
      <c r="D81" s="94"/>
      <c r="E81" s="96"/>
      <c r="F81" s="94"/>
      <c r="G81" s="96"/>
      <c r="H81" s="94"/>
      <c r="I81" s="96"/>
      <c r="J81" s="94"/>
      <c r="K81" s="96"/>
      <c r="L81" s="94"/>
      <c r="M81" s="96"/>
    </row>
    <row r="82" spans="1:13" x14ac:dyDescent="0.2">
      <c r="A82" s="284">
        <f>Заявка!A82</f>
        <v>0</v>
      </c>
      <c r="B82" s="94"/>
      <c r="C82" s="96"/>
      <c r="D82" s="94"/>
      <c r="E82" s="96"/>
      <c r="F82" s="94"/>
      <c r="G82" s="96"/>
      <c r="H82" s="94"/>
      <c r="I82" s="96"/>
      <c r="J82" s="94"/>
      <c r="K82" s="96"/>
      <c r="L82" s="94"/>
      <c r="M82" s="96"/>
    </row>
    <row r="83" spans="1:13" x14ac:dyDescent="0.2">
      <c r="A83" s="284">
        <f>Заявка!A83</f>
        <v>0</v>
      </c>
      <c r="B83" s="94"/>
      <c r="C83" s="96"/>
      <c r="D83" s="94"/>
      <c r="E83" s="96"/>
      <c r="F83" s="94"/>
      <c r="G83" s="96"/>
      <c r="H83" s="94"/>
      <c r="I83" s="96"/>
      <c r="J83" s="94"/>
      <c r="K83" s="96"/>
      <c r="L83" s="94"/>
      <c r="M83" s="96"/>
    </row>
    <row r="84" spans="1:13" x14ac:dyDescent="0.2">
      <c r="A84" s="284">
        <f>Заявка!A84</f>
        <v>0</v>
      </c>
      <c r="B84" s="94"/>
      <c r="C84" s="96"/>
      <c r="D84" s="94"/>
      <c r="E84" s="96"/>
      <c r="F84" s="94"/>
      <c r="G84" s="96"/>
      <c r="H84" s="94"/>
      <c r="I84" s="96"/>
      <c r="J84" s="94"/>
      <c r="K84" s="96"/>
      <c r="L84" s="94"/>
      <c r="M84" s="96"/>
    </row>
    <row r="85" spans="1:13" x14ac:dyDescent="0.2">
      <c r="A85" s="284">
        <f>Заявка!A85</f>
        <v>0</v>
      </c>
      <c r="B85" s="94"/>
      <c r="C85" s="96"/>
      <c r="D85" s="94"/>
      <c r="E85" s="96"/>
      <c r="F85" s="94"/>
      <c r="G85" s="96"/>
      <c r="H85" s="94"/>
      <c r="I85" s="96"/>
      <c r="J85" s="94"/>
      <c r="K85" s="96"/>
      <c r="L85" s="94"/>
      <c r="M85" s="96"/>
    </row>
    <row r="86" spans="1:13" ht="12" thickBot="1" x14ac:dyDescent="0.25">
      <c r="A86" s="198" t="str">
        <f>IF(L!$B$249=1,L!B314,L!C314)</f>
        <v>ИТОГО</v>
      </c>
      <c r="B86" s="275">
        <f t="shared" ref="B86:M86" si="14">SUM(B67:B85)</f>
        <v>0</v>
      </c>
      <c r="C86" s="276">
        <f t="shared" si="14"/>
        <v>0</v>
      </c>
      <c r="D86" s="275">
        <f t="shared" si="14"/>
        <v>0</v>
      </c>
      <c r="E86" s="276">
        <f t="shared" si="14"/>
        <v>0</v>
      </c>
      <c r="F86" s="275">
        <f t="shared" si="14"/>
        <v>0</v>
      </c>
      <c r="G86" s="276">
        <f t="shared" si="14"/>
        <v>0</v>
      </c>
      <c r="H86" s="275">
        <f t="shared" si="14"/>
        <v>0</v>
      </c>
      <c r="I86" s="276">
        <f t="shared" si="14"/>
        <v>0</v>
      </c>
      <c r="J86" s="275">
        <f t="shared" si="14"/>
        <v>0</v>
      </c>
      <c r="K86" s="276">
        <f t="shared" si="14"/>
        <v>0</v>
      </c>
      <c r="L86" s="275">
        <f t="shared" si="14"/>
        <v>0</v>
      </c>
      <c r="M86" s="276">
        <f t="shared" si="14"/>
        <v>0</v>
      </c>
    </row>
    <row r="87" spans="1:13" x14ac:dyDescent="0.2">
      <c r="A87" s="264"/>
      <c r="B87" s="39" t="str">
        <f>IF(B86=B63,"","Итоги в VI ≠ VII")</f>
        <v/>
      </c>
      <c r="C87" s="39" t="str">
        <f t="shared" ref="C87:M87" si="15">IF(C86=C63,"","Итоги в VI ≠ VII")</f>
        <v/>
      </c>
      <c r="D87" s="39" t="str">
        <f t="shared" si="15"/>
        <v/>
      </c>
      <c r="E87" s="39" t="str">
        <f t="shared" si="15"/>
        <v/>
      </c>
      <c r="F87" s="39" t="str">
        <f t="shared" si="15"/>
        <v/>
      </c>
      <c r="G87" s="39" t="str">
        <f t="shared" si="15"/>
        <v/>
      </c>
      <c r="H87" s="39" t="str">
        <f t="shared" si="15"/>
        <v/>
      </c>
      <c r="I87" s="39" t="str">
        <f t="shared" si="15"/>
        <v/>
      </c>
      <c r="J87" s="39" t="str">
        <f t="shared" si="15"/>
        <v/>
      </c>
      <c r="K87" s="39" t="str">
        <f t="shared" si="15"/>
        <v/>
      </c>
      <c r="L87" s="39" t="str">
        <f t="shared" si="15"/>
        <v/>
      </c>
      <c r="M87" s="39" t="str">
        <f t="shared" si="15"/>
        <v/>
      </c>
    </row>
    <row r="88" spans="1:13" ht="12" thickBot="1" x14ac:dyDescent="0.25">
      <c r="A88" s="266" t="str">
        <f>IF(L!$B$249=1,L!B319,L!C319)</f>
        <v>VIII. Анализ качества кредитного портфеля</v>
      </c>
      <c r="B88" s="131"/>
      <c r="C88" s="131"/>
      <c r="D88" s="131"/>
      <c r="E88" s="131"/>
      <c r="F88" s="131"/>
      <c r="G88" s="131"/>
      <c r="H88" s="130"/>
      <c r="I88" s="222"/>
      <c r="J88" s="222"/>
    </row>
    <row r="89" spans="1:13" x14ac:dyDescent="0.2">
      <c r="A89" s="208" t="str">
        <f>IF(L!$B$249=1,L!C13,L!B13)</f>
        <v>ОТЧЕТНЫЙ ПЕРИОД :</v>
      </c>
      <c r="B89" s="965" t="str">
        <f>B6</f>
        <v/>
      </c>
      <c r="C89" s="966"/>
      <c r="D89" s="965" t="str">
        <f>D6</f>
        <v/>
      </c>
      <c r="E89" s="967"/>
      <c r="F89" s="968" t="str">
        <f>F6</f>
        <v/>
      </c>
      <c r="G89" s="969"/>
      <c r="H89" s="974" t="str">
        <f>H6</f>
        <v/>
      </c>
      <c r="I89" s="974"/>
      <c r="J89" s="968" t="str">
        <f>J6</f>
        <v/>
      </c>
      <c r="K89" s="969"/>
      <c r="L89" s="968">
        <f>L6</f>
        <v>0</v>
      </c>
      <c r="M89" s="969"/>
    </row>
    <row r="90" spans="1:13" ht="22.5" x14ac:dyDescent="0.2">
      <c r="A90" s="209" t="str">
        <f>IF(L!$B$249=1,L!B320,L!C320)</f>
        <v>Статус кредитного портфеля</v>
      </c>
      <c r="B90" s="114" t="str">
        <f>IF(L!$B$249=1,L!B255,L!C255)</f>
        <v>Сумма</v>
      </c>
      <c r="C90" s="115" t="str">
        <f>IF(L!$B$249=1,L!B257,L!C257)</f>
        <v>Кол-во кредитов</v>
      </c>
      <c r="D90" s="112" t="str">
        <f>IF(L!$B$249=1,L!B255,L!C255)</f>
        <v>Сумма</v>
      </c>
      <c r="E90" s="376" t="str">
        <f>IF(L!$B$249=1,L!B257,L!C257)</f>
        <v>Кол-во кредитов</v>
      </c>
      <c r="F90" s="223" t="str">
        <f>IF(L!$B$249=1,L!B255,L!C255)</f>
        <v>Сумма</v>
      </c>
      <c r="G90" s="224" t="str">
        <f>IF(L!$B$249=1,L!B257,L!C257)</f>
        <v>Кол-во кредитов</v>
      </c>
      <c r="H90" s="380" t="str">
        <f>IF(L!$B$249=1,L!B255,L!C255)</f>
        <v>Сумма</v>
      </c>
      <c r="I90" s="381" t="str">
        <f>IF(L!$B$249=1,L!B257,L!C257)</f>
        <v>Кол-во кредитов</v>
      </c>
      <c r="J90" s="223" t="str">
        <f>IF(L!$B$249=1,L!B255,L!C255)</f>
        <v>Сумма</v>
      </c>
      <c r="K90" s="224" t="str">
        <f>IF(L!$B$249=1,L!B257,L!C257)</f>
        <v>Кол-во кредитов</v>
      </c>
      <c r="L90" s="223" t="str">
        <f>IF(L!$B$249=1,L!B255,L!C255)</f>
        <v>Сумма</v>
      </c>
      <c r="M90" s="224" t="str">
        <f>IF(L!$B$249=1,L!B257,L!C257)</f>
        <v>Кол-во кредитов</v>
      </c>
    </row>
    <row r="91" spans="1:13" ht="22.5" x14ac:dyDescent="0.2">
      <c r="A91" s="194" t="str">
        <f>IF(L!$B$249=1,L!B321,L!C321)</f>
        <v>Текущий кредитный портфель (остаток долга без просрочек)</v>
      </c>
      <c r="B91" s="94"/>
      <c r="C91" s="368"/>
      <c r="D91" s="366"/>
      <c r="E91" s="377"/>
      <c r="F91" s="366"/>
      <c r="G91" s="370"/>
      <c r="H91" s="367"/>
      <c r="I91" s="377"/>
      <c r="J91" s="366"/>
      <c r="K91" s="370"/>
      <c r="L91" s="366"/>
      <c r="M91" s="370"/>
    </row>
    <row r="92" spans="1:13" x14ac:dyDescent="0.2">
      <c r="A92" s="277" t="str">
        <f>IF(L!$B$249=1,L!B322,L!C322)</f>
        <v>Кредитный портфель (остаток долга), по которым имеется просрочка по основной сумме и/или начисленных процентов</v>
      </c>
      <c r="B92" s="289"/>
      <c r="C92" s="261"/>
      <c r="D92" s="260"/>
      <c r="E92" s="260"/>
      <c r="F92" s="289"/>
      <c r="G92" s="261"/>
      <c r="H92" s="260"/>
      <c r="I92" s="260"/>
      <c r="J92" s="289"/>
      <c r="K92" s="261"/>
      <c r="L92" s="260"/>
      <c r="M92" s="261"/>
    </row>
    <row r="93" spans="1:13" x14ac:dyDescent="0.2">
      <c r="A93" s="163" t="str">
        <f>IF(L!$B$249=1,L!B323,L!C323)</f>
        <v xml:space="preserve">   от 1 до 30 дней</v>
      </c>
      <c r="B93" s="375"/>
      <c r="C93" s="369"/>
      <c r="D93" s="366"/>
      <c r="E93" s="378"/>
      <c r="F93" s="366"/>
      <c r="G93" s="371"/>
      <c r="H93" s="367"/>
      <c r="I93" s="378"/>
      <c r="J93" s="366"/>
      <c r="K93" s="371"/>
      <c r="L93" s="366"/>
      <c r="M93" s="371"/>
    </row>
    <row r="94" spans="1:13" x14ac:dyDescent="0.2">
      <c r="A94" s="163" t="str">
        <f>IF(L!$B$249=1,L!B324,L!C324)</f>
        <v xml:space="preserve">   от 31 до 90 дней</v>
      </c>
      <c r="B94" s="375"/>
      <c r="C94" s="369"/>
      <c r="D94" s="366"/>
      <c r="E94" s="378"/>
      <c r="F94" s="366"/>
      <c r="G94" s="371"/>
      <c r="H94" s="367"/>
      <c r="I94" s="378"/>
      <c r="J94" s="366"/>
      <c r="K94" s="371"/>
      <c r="L94" s="366"/>
      <c r="M94" s="371"/>
    </row>
    <row r="95" spans="1:13" x14ac:dyDescent="0.2">
      <c r="A95" s="163" t="str">
        <f>IF(L!$B$249=1,L!B325,L!C325)</f>
        <v xml:space="preserve">   от 91 до 180 дней</v>
      </c>
      <c r="B95" s="375"/>
      <c r="C95" s="369"/>
      <c r="D95" s="366"/>
      <c r="E95" s="378"/>
      <c r="F95" s="366"/>
      <c r="G95" s="371"/>
      <c r="H95" s="367"/>
      <c r="I95" s="378"/>
      <c r="J95" s="366"/>
      <c r="K95" s="371"/>
      <c r="L95" s="366"/>
      <c r="M95" s="371"/>
    </row>
    <row r="96" spans="1:13" x14ac:dyDescent="0.2">
      <c r="A96" s="163" t="str">
        <f>IF(L!$B$249=1,L!B326,L!C326)</f>
        <v xml:space="preserve">   от 181 до 360 дней</v>
      </c>
      <c r="B96" s="375"/>
      <c r="C96" s="369"/>
      <c r="D96" s="366"/>
      <c r="E96" s="378"/>
      <c r="F96" s="366"/>
      <c r="G96" s="371"/>
      <c r="H96" s="367"/>
      <c r="I96" s="378"/>
      <c r="J96" s="366"/>
      <c r="K96" s="371"/>
      <c r="L96" s="366"/>
      <c r="M96" s="371"/>
    </row>
    <row r="97" spans="1:13" x14ac:dyDescent="0.2">
      <c r="A97" s="163" t="str">
        <f>IF(L!$B$249=1,L!B327,L!C327)</f>
        <v xml:space="preserve">   более 360 дней</v>
      </c>
      <c r="B97" s="375"/>
      <c r="C97" s="369"/>
      <c r="D97" s="366"/>
      <c r="E97" s="378"/>
      <c r="F97" s="366"/>
      <c r="G97" s="371"/>
      <c r="H97" s="367"/>
      <c r="I97" s="378"/>
      <c r="J97" s="366"/>
      <c r="K97" s="371"/>
      <c r="L97" s="366"/>
      <c r="M97" s="371"/>
    </row>
    <row r="98" spans="1:13" ht="22.5" x14ac:dyDescent="0.2">
      <c r="A98" s="163" t="str">
        <f>IF(L!$B$249=1,L!B328,L!C328)</f>
        <v>Пролонгированные/реструктуризированные кредиты</v>
      </c>
      <c r="B98" s="94"/>
      <c r="C98" s="369"/>
      <c r="D98" s="366"/>
      <c r="E98" s="378"/>
      <c r="F98" s="366"/>
      <c r="G98" s="371"/>
      <c r="H98" s="367"/>
      <c r="I98" s="378"/>
      <c r="J98" s="366"/>
      <c r="K98" s="371"/>
      <c r="L98" s="366"/>
      <c r="M98" s="371"/>
    </row>
    <row r="99" spans="1:13" ht="12" thickBot="1" x14ac:dyDescent="0.25">
      <c r="A99" s="164" t="str">
        <f>IF(L!$B$249=1,L!B329,L!C329)</f>
        <v>Общий кредитный портфель</v>
      </c>
      <c r="B99" s="165">
        <f t="shared" ref="B99:G99" si="16">B91+B93+B94+B95+B96+B97+B98</f>
        <v>0</v>
      </c>
      <c r="C99" s="210">
        <f t="shared" si="16"/>
        <v>0</v>
      </c>
      <c r="D99" s="288">
        <f t="shared" si="16"/>
        <v>0</v>
      </c>
      <c r="E99" s="379">
        <f t="shared" si="16"/>
        <v>0</v>
      </c>
      <c r="F99" s="165">
        <f t="shared" si="16"/>
        <v>0</v>
      </c>
      <c r="G99" s="210">
        <f t="shared" si="16"/>
        <v>0</v>
      </c>
      <c r="H99" s="288">
        <f t="shared" ref="H99:M99" si="17">H91+H93+H94+H95+H96+H97+H98</f>
        <v>0</v>
      </c>
      <c r="I99" s="379">
        <f t="shared" si="17"/>
        <v>0</v>
      </c>
      <c r="J99" s="165">
        <f t="shared" si="17"/>
        <v>0</v>
      </c>
      <c r="K99" s="210">
        <f t="shared" si="17"/>
        <v>0</v>
      </c>
      <c r="L99" s="165">
        <f t="shared" si="17"/>
        <v>0</v>
      </c>
      <c r="M99" s="210">
        <f t="shared" si="17"/>
        <v>0</v>
      </c>
    </row>
    <row r="100" spans="1:13" ht="12" thickBot="1" x14ac:dyDescent="0.25">
      <c r="A100" s="345"/>
      <c r="B100" s="334" t="str">
        <f>IF(B99=B86,"","Итоги в VII ≠ VIII")</f>
        <v/>
      </c>
      <c r="C100" s="334" t="str">
        <f t="shared" ref="C100:M100" si="18">IF(C99=C86,"","Итоги в VII ≠ VIII")</f>
        <v/>
      </c>
      <c r="D100" s="334" t="str">
        <f t="shared" si="18"/>
        <v/>
      </c>
      <c r="E100" s="334" t="str">
        <f t="shared" si="18"/>
        <v/>
      </c>
      <c r="F100" s="334" t="str">
        <f t="shared" si="18"/>
        <v/>
      </c>
      <c r="G100" s="334" t="str">
        <f t="shared" si="18"/>
        <v/>
      </c>
      <c r="H100" s="334" t="str">
        <f t="shared" si="18"/>
        <v/>
      </c>
      <c r="I100" s="334" t="str">
        <f t="shared" si="18"/>
        <v/>
      </c>
      <c r="J100" s="334" t="str">
        <f t="shared" si="18"/>
        <v/>
      </c>
      <c r="K100" s="334" t="str">
        <f t="shared" si="18"/>
        <v/>
      </c>
      <c r="L100" s="334" t="str">
        <f t="shared" si="18"/>
        <v/>
      </c>
      <c r="M100" s="334" t="str">
        <f t="shared" si="18"/>
        <v/>
      </c>
    </row>
    <row r="101" spans="1:13" x14ac:dyDescent="0.2">
      <c r="A101" s="335" t="str">
        <f>IF(L!$B$249=1,L!B331,L!C331)</f>
        <v>Cписанные кредиты за отчетный период</v>
      </c>
      <c r="B101" s="337"/>
      <c r="C101" s="338"/>
      <c r="D101" s="337"/>
      <c r="E101" s="338"/>
      <c r="F101" s="337"/>
      <c r="G101" s="338"/>
      <c r="H101" s="337"/>
      <c r="I101" s="338"/>
      <c r="J101" s="337"/>
      <c r="K101" s="338"/>
      <c r="L101" s="337"/>
      <c r="M101" s="338"/>
    </row>
    <row r="102" spans="1:13" ht="12" thickBot="1" x14ac:dyDescent="0.25">
      <c r="A102" s="336" t="str">
        <f>IF(L!$B$249=1,L!B332,L!C332)</f>
        <v>Остаток списанных кредитов на отчетную дату</v>
      </c>
      <c r="B102" s="339"/>
      <c r="C102" s="340"/>
      <c r="D102" s="339"/>
      <c r="E102" s="340"/>
      <c r="F102" s="339"/>
      <c r="G102" s="340"/>
      <c r="H102" s="339"/>
      <c r="I102" s="340"/>
      <c r="J102" s="339"/>
      <c r="K102" s="340"/>
      <c r="L102" s="339"/>
      <c r="M102" s="340"/>
    </row>
    <row r="103" spans="1:13" x14ac:dyDescent="0.2">
      <c r="A103" s="191"/>
      <c r="B103" s="222"/>
      <c r="C103" s="222"/>
      <c r="D103" s="192"/>
      <c r="E103" s="192"/>
      <c r="F103" s="192"/>
      <c r="G103" s="192"/>
      <c r="H103" s="192"/>
      <c r="I103" s="192"/>
      <c r="J103" s="192"/>
    </row>
    <row r="104" spans="1:13" ht="12" thickBot="1" x14ac:dyDescent="0.25">
      <c r="A104" s="341"/>
      <c r="B104" s="222"/>
      <c r="C104" s="222"/>
      <c r="D104" s="222"/>
      <c r="E104" s="222"/>
      <c r="F104" s="222"/>
      <c r="G104" s="222"/>
      <c r="H104" s="222"/>
      <c r="I104" s="222"/>
      <c r="J104" s="222"/>
    </row>
    <row r="105" spans="1:13" ht="13.5" customHeight="1" x14ac:dyDescent="0.2">
      <c r="A105" s="958" t="str">
        <f>IF(L!$B$249=1,L!B334,L!C334)</f>
        <v xml:space="preserve">IX. Другая информация </v>
      </c>
      <c r="B105" s="963" t="str">
        <f>B89</f>
        <v/>
      </c>
      <c r="C105" s="964"/>
      <c r="D105" s="963" t="str">
        <f>D89</f>
        <v/>
      </c>
      <c r="E105" s="964"/>
      <c r="F105" s="963" t="str">
        <f>F89</f>
        <v/>
      </c>
      <c r="G105" s="964"/>
      <c r="H105" s="975" t="str">
        <f>H89</f>
        <v/>
      </c>
      <c r="I105" s="976"/>
      <c r="J105" s="963" t="str">
        <f>J89</f>
        <v/>
      </c>
      <c r="K105" s="964"/>
      <c r="L105" s="975">
        <f>L89</f>
        <v>0</v>
      </c>
      <c r="M105" s="964"/>
    </row>
    <row r="106" spans="1:13" ht="22.5" x14ac:dyDescent="0.2">
      <c r="A106" s="959"/>
      <c r="B106" s="471" t="str">
        <f>IF(L!$B$249=1,L!B255,L!C255)</f>
        <v>Сумма</v>
      </c>
      <c r="C106" s="469" t="str">
        <f>IF(L!$B$249=1,L!B257,L!C257)</f>
        <v>Кол-во кредитов</v>
      </c>
      <c r="D106" s="471" t="str">
        <f>IF(L!$B$249=1,L!B255,L!C255)</f>
        <v>Сумма</v>
      </c>
      <c r="E106" s="469" t="str">
        <f>IF(L!$B$249=1,L!B257,L!C257)</f>
        <v>Кол-во кредитов</v>
      </c>
      <c r="F106" s="471" t="str">
        <f>IF(L!$B$249=1,L!B255,L!C255)</f>
        <v>Сумма</v>
      </c>
      <c r="G106" s="469" t="str">
        <f>IF(L!$B$249=1,L!B257,L!C257)</f>
        <v>Кол-во кредитов</v>
      </c>
      <c r="H106" s="470" t="str">
        <f>IF(L!$B$249=1,L!B255,L!C255)</f>
        <v>Сумма</v>
      </c>
      <c r="I106" s="475" t="str">
        <f>IF(L!$B$249=1,L!B257,L!C257)</f>
        <v>Кол-во кредитов</v>
      </c>
      <c r="J106" s="471" t="str">
        <f>IF(L!$B$249=1,L!B255,L!C255)</f>
        <v>Сумма</v>
      </c>
      <c r="K106" s="469" t="str">
        <f>IF(L!$B$249=1,L!B257,L!C257)</f>
        <v>Кол-во кредитов</v>
      </c>
      <c r="L106" s="470" t="str">
        <f>IF(L!$B$249=1,L!B255,L!C255)</f>
        <v>Сумма</v>
      </c>
      <c r="M106" s="469" t="str">
        <f>IF(L!$B$249=1,L!B257,L!C257)</f>
        <v>Кол-во кредитов</v>
      </c>
    </row>
    <row r="107" spans="1:13" x14ac:dyDescent="0.2">
      <c r="A107" s="271" t="str">
        <f>IF(L!$B$249=1,L!B335,L!C335)</f>
        <v>Информация о выданных кредитов за период</v>
      </c>
      <c r="B107" s="472"/>
      <c r="C107" s="104"/>
      <c r="D107" s="472"/>
      <c r="E107" s="104"/>
      <c r="F107" s="472"/>
      <c r="G107" s="104"/>
      <c r="H107" s="468"/>
      <c r="I107" s="103"/>
      <c r="J107" s="472"/>
      <c r="K107" s="104"/>
      <c r="L107" s="468"/>
      <c r="M107" s="104"/>
    </row>
    <row r="108" spans="1:13" ht="24.75" customHeight="1" x14ac:dyDescent="0.2">
      <c r="A108" s="342" t="str">
        <f>IF(L!$B$249=1,L!B338,L!C338)</f>
        <v>Кредиты, выданные аффилированным и связанным сторонам (остаток)</v>
      </c>
      <c r="B108" s="472"/>
      <c r="C108" s="104"/>
      <c r="D108" s="472"/>
      <c r="E108" s="104"/>
      <c r="F108" s="472"/>
      <c r="G108" s="104"/>
      <c r="H108" s="468"/>
      <c r="I108" s="103"/>
      <c r="J108" s="472"/>
      <c r="K108" s="104"/>
      <c r="L108" s="468"/>
      <c r="M108" s="104"/>
    </row>
    <row r="109" spans="1:13" ht="23.25" thickBot="1" x14ac:dyDescent="0.25">
      <c r="A109" s="272" t="str">
        <f>IF(L!$B$249=1,L!B341,L!C341)</f>
        <v xml:space="preserve">Кредиты заемщиков, имеющие параллельные кредиты в других ФКУ </v>
      </c>
      <c r="B109" s="339"/>
      <c r="C109" s="340"/>
      <c r="D109" s="339"/>
      <c r="E109" s="340"/>
      <c r="F109" s="339"/>
      <c r="G109" s="340"/>
      <c r="H109" s="474"/>
      <c r="I109" s="476"/>
      <c r="J109" s="339"/>
      <c r="K109" s="340"/>
      <c r="L109" s="474"/>
      <c r="M109" s="340"/>
    </row>
    <row r="110" spans="1:13" ht="22.5" x14ac:dyDescent="0.2">
      <c r="A110" s="473" t="str">
        <f>IF(L!$B$249=1,L!B340,L!C340)</f>
        <v>Совокупная задолженность 20 самых крупных заемщиков (остаток)</v>
      </c>
      <c r="B110" s="960"/>
      <c r="C110" s="961"/>
      <c r="D110" s="960"/>
      <c r="E110" s="961"/>
      <c r="F110" s="960"/>
      <c r="G110" s="961"/>
      <c r="H110" s="962"/>
      <c r="I110" s="962"/>
      <c r="J110" s="960"/>
      <c r="K110" s="961"/>
      <c r="L110" s="962"/>
      <c r="M110" s="961"/>
    </row>
    <row r="111" spans="1:13" x14ac:dyDescent="0.2">
      <c r="A111" s="271" t="str">
        <f>IF(L!$B$249=1,L!B336,L!C336)</f>
        <v>Максимальная сумма выданного кредита</v>
      </c>
      <c r="B111" s="952"/>
      <c r="C111" s="953"/>
      <c r="D111" s="952"/>
      <c r="E111" s="953"/>
      <c r="F111" s="952"/>
      <c r="G111" s="953"/>
      <c r="H111" s="954"/>
      <c r="I111" s="955"/>
      <c r="J111" s="952"/>
      <c r="K111" s="953"/>
      <c r="L111" s="954"/>
      <c r="M111" s="953"/>
    </row>
    <row r="112" spans="1:13" x14ac:dyDescent="0.2">
      <c r="A112" s="271" t="str">
        <f>IF(L!$B$249=1,L!B337,L!C337)</f>
        <v>Минимальная сумма выданного кредита</v>
      </c>
      <c r="B112" s="952"/>
      <c r="C112" s="953"/>
      <c r="D112" s="952"/>
      <c r="E112" s="953"/>
      <c r="F112" s="952"/>
      <c r="G112" s="953"/>
      <c r="H112" s="954"/>
      <c r="I112" s="955"/>
      <c r="J112" s="952"/>
      <c r="K112" s="953"/>
      <c r="L112" s="954"/>
      <c r="M112" s="953"/>
    </row>
    <row r="113" spans="1:13" ht="24" customHeight="1" x14ac:dyDescent="0.2">
      <c r="A113" s="271" t="str">
        <f>IF(L!$B$249=1,L!B345,L!C345)</f>
        <v>Средневзвешенная процентная ставка по активным кредитам на конец периода</v>
      </c>
      <c r="B113" s="956">
        <v>0</v>
      </c>
      <c r="C113" s="957"/>
      <c r="D113" s="956">
        <v>0</v>
      </c>
      <c r="E113" s="957"/>
      <c r="F113" s="956">
        <v>0</v>
      </c>
      <c r="G113" s="957"/>
      <c r="H113" s="977">
        <v>0</v>
      </c>
      <c r="I113" s="978"/>
      <c r="J113" s="956">
        <v>0</v>
      </c>
      <c r="K113" s="957"/>
      <c r="L113" s="977">
        <v>0</v>
      </c>
      <c r="M113" s="957"/>
    </row>
    <row r="114" spans="1:13" x14ac:dyDescent="0.2">
      <c r="A114" s="271" t="str">
        <f>IF(L!$B$249=1,L!B346,L!C346)</f>
        <v>Количество действующих заемщиков</v>
      </c>
      <c r="B114" s="979"/>
      <c r="C114" s="980"/>
      <c r="D114" s="979"/>
      <c r="E114" s="980"/>
      <c r="F114" s="979"/>
      <c r="G114" s="980"/>
      <c r="H114" s="985"/>
      <c r="I114" s="986"/>
      <c r="J114" s="979"/>
      <c r="K114" s="980"/>
      <c r="L114" s="985"/>
      <c r="M114" s="980"/>
    </row>
    <row r="115" spans="1:13" ht="15" customHeight="1" x14ac:dyDescent="0.2">
      <c r="A115" s="342" t="str">
        <f>IF(L!$B$249=1,L!B347,L!C347)</f>
        <v>Количество сотрудников  всего:</v>
      </c>
      <c r="B115" s="952"/>
      <c r="C115" s="953"/>
      <c r="D115" s="952"/>
      <c r="E115" s="953"/>
      <c r="F115" s="952"/>
      <c r="G115" s="953"/>
      <c r="H115" s="954"/>
      <c r="I115" s="955"/>
      <c r="J115" s="952"/>
      <c r="K115" s="953"/>
      <c r="L115" s="954"/>
      <c r="M115" s="953"/>
    </row>
    <row r="116" spans="1:13" ht="17.25" customHeight="1" thickBot="1" x14ac:dyDescent="0.25">
      <c r="A116" s="343" t="str">
        <f>IF(L!$B$249=1,L!B348,L!C348)</f>
        <v>в том числе кредитных специалистов</v>
      </c>
      <c r="B116" s="970"/>
      <c r="C116" s="971"/>
      <c r="D116" s="970"/>
      <c r="E116" s="971"/>
      <c r="F116" s="970"/>
      <c r="G116" s="971"/>
      <c r="H116" s="972"/>
      <c r="I116" s="973"/>
      <c r="J116" s="970"/>
      <c r="K116" s="971"/>
      <c r="L116" s="972"/>
      <c r="M116" s="971"/>
    </row>
    <row r="117" spans="1:13" ht="23.25" customHeight="1" x14ac:dyDescent="0.2">
      <c r="B117" s="984" t="str">
        <f>IF(AND(B115&gt;0,B116=0),"Не забудьте вставить данные по кредитным специалистам!"," ")</f>
        <v xml:space="preserve"> </v>
      </c>
      <c r="C117" s="984"/>
      <c r="D117" s="984" t="str">
        <f>IF(AND(D115&gt;0,D116=0),"Не забудьте вставить данные по кредитным специалистам!"," ")</f>
        <v xml:space="preserve"> </v>
      </c>
      <c r="E117" s="984"/>
      <c r="F117" s="984" t="str">
        <f>IF(AND(F115&gt;0,F116=0),"Не забудьте вставить данные по кредитным специалистам!"," ")</f>
        <v xml:space="preserve"> </v>
      </c>
      <c r="G117" s="984"/>
      <c r="H117" s="984" t="str">
        <f>IF(AND(H115&gt;0,H116=0),"Не забудьте вставить данные по кредитным специалистам!"," ")</f>
        <v xml:space="preserve"> </v>
      </c>
      <c r="I117" s="984"/>
      <c r="J117" s="984" t="str">
        <f>IF(AND(J115&gt;0,J116=0),"Не забудьте вставить данные по кредитным специалистам!"," ")</f>
        <v xml:space="preserve"> </v>
      </c>
      <c r="K117" s="984"/>
      <c r="L117" s="984" t="str">
        <f>IF(AND(L115&gt;0,L116=0),"Не забудьте вставить данные по кредитным специалистам!"," ")</f>
        <v xml:space="preserve"> </v>
      </c>
      <c r="M117" s="984"/>
    </row>
    <row r="118" spans="1:13" x14ac:dyDescent="0.2">
      <c r="H118" s="132"/>
    </row>
    <row r="119" spans="1:13" x14ac:dyDescent="0.2">
      <c r="E119" s="132"/>
      <c r="H119" s="132"/>
      <c r="I119" s="132"/>
    </row>
    <row r="199" spans="1:1" x14ac:dyDescent="0.2">
      <c r="A199" s="254" t="s">
        <v>116</v>
      </c>
    </row>
    <row r="200" spans="1:1" x14ac:dyDescent="0.2">
      <c r="A200" s="255" t="e">
        <f>YEAR(B89)</f>
        <v>#VALUE!</v>
      </c>
    </row>
    <row r="201" spans="1:1" x14ac:dyDescent="0.2">
      <c r="A201" s="255" t="e">
        <f>YEAR(D89)</f>
        <v>#VALUE!</v>
      </c>
    </row>
    <row r="202" spans="1:1" x14ac:dyDescent="0.2">
      <c r="A202" s="255" t="e">
        <f>YEAR(F89)</f>
        <v>#VALUE!</v>
      </c>
    </row>
    <row r="203" spans="1:1" x14ac:dyDescent="0.2">
      <c r="A203" s="254" t="s">
        <v>112</v>
      </c>
    </row>
    <row r="204" spans="1:1" x14ac:dyDescent="0.2">
      <c r="A204" s="254" t="s">
        <v>113</v>
      </c>
    </row>
    <row r="205" spans="1:1" x14ac:dyDescent="0.2">
      <c r="A205" s="254" t="s">
        <v>114</v>
      </c>
    </row>
    <row r="206" spans="1:1" x14ac:dyDescent="0.2">
      <c r="A206" s="254" t="s">
        <v>115</v>
      </c>
    </row>
  </sheetData>
  <sheetProtection password="8FDE" sheet="1" formatCells="0" formatColumns="0" formatRows="0"/>
  <mergeCells count="105">
    <mergeCell ref="F117:G117"/>
    <mergeCell ref="F116:G116"/>
    <mergeCell ref="F113:G113"/>
    <mergeCell ref="B114:C114"/>
    <mergeCell ref="D114:E114"/>
    <mergeCell ref="B117:C117"/>
    <mergeCell ref="D117:E117"/>
    <mergeCell ref="D115:E115"/>
    <mergeCell ref="B116:C116"/>
    <mergeCell ref="H6:I6"/>
    <mergeCell ref="B14:C14"/>
    <mergeCell ref="D14:E14"/>
    <mergeCell ref="F14:G14"/>
    <mergeCell ref="H14:I14"/>
    <mergeCell ref="J6:K6"/>
    <mergeCell ref="L38:M38"/>
    <mergeCell ref="L6:M6"/>
    <mergeCell ref="J14:K14"/>
    <mergeCell ref="L14:M14"/>
    <mergeCell ref="B24:C24"/>
    <mergeCell ref="D24:E24"/>
    <mergeCell ref="F24:G24"/>
    <mergeCell ref="H24:I24"/>
    <mergeCell ref="J24:K24"/>
    <mergeCell ref="L24:M24"/>
    <mergeCell ref="B38:C38"/>
    <mergeCell ref="D38:E38"/>
    <mergeCell ref="F38:G38"/>
    <mergeCell ref="H38:I38"/>
    <mergeCell ref="J38:K38"/>
    <mergeCell ref="H117:I117"/>
    <mergeCell ref="J117:K117"/>
    <mergeCell ref="J47:K47"/>
    <mergeCell ref="L117:M117"/>
    <mergeCell ref="H47:I47"/>
    <mergeCell ref="L47:M47"/>
    <mergeCell ref="H57:I57"/>
    <mergeCell ref="L57:M57"/>
    <mergeCell ref="H115:I115"/>
    <mergeCell ref="J115:K115"/>
    <mergeCell ref="J57:K57"/>
    <mergeCell ref="H114:I114"/>
    <mergeCell ref="J114:K114"/>
    <mergeCell ref="L114:M114"/>
    <mergeCell ref="H112:I112"/>
    <mergeCell ref="J112:K112"/>
    <mergeCell ref="L112:M112"/>
    <mergeCell ref="H65:I65"/>
    <mergeCell ref="J65:K65"/>
    <mergeCell ref="L65:M65"/>
    <mergeCell ref="A3:A4"/>
    <mergeCell ref="A65:A66"/>
    <mergeCell ref="B6:C6"/>
    <mergeCell ref="D6:E6"/>
    <mergeCell ref="F6:G6"/>
    <mergeCell ref="B47:C47"/>
    <mergeCell ref="D47:E47"/>
    <mergeCell ref="F47:G47"/>
    <mergeCell ref="B57:C57"/>
    <mergeCell ref="D57:E57"/>
    <mergeCell ref="F57:G57"/>
    <mergeCell ref="B65:C65"/>
    <mergeCell ref="D65:E65"/>
    <mergeCell ref="F65:G65"/>
    <mergeCell ref="B89:C89"/>
    <mergeCell ref="D89:E89"/>
    <mergeCell ref="F89:G89"/>
    <mergeCell ref="D116:E116"/>
    <mergeCell ref="H116:I116"/>
    <mergeCell ref="J116:K116"/>
    <mergeCell ref="F111:G111"/>
    <mergeCell ref="L116:M116"/>
    <mergeCell ref="H89:I89"/>
    <mergeCell ref="J89:K89"/>
    <mergeCell ref="L89:M89"/>
    <mergeCell ref="H105:I105"/>
    <mergeCell ref="J105:K105"/>
    <mergeCell ref="L105:M105"/>
    <mergeCell ref="L110:M110"/>
    <mergeCell ref="D112:E112"/>
    <mergeCell ref="F112:G112"/>
    <mergeCell ref="F115:G115"/>
    <mergeCell ref="D113:E113"/>
    <mergeCell ref="H113:I113"/>
    <mergeCell ref="J113:K113"/>
    <mergeCell ref="L113:M113"/>
    <mergeCell ref="L115:M115"/>
    <mergeCell ref="F114:G114"/>
    <mergeCell ref="D111:E111"/>
    <mergeCell ref="B111:C111"/>
    <mergeCell ref="H111:I111"/>
    <mergeCell ref="J111:K111"/>
    <mergeCell ref="L111:M111"/>
    <mergeCell ref="B112:C112"/>
    <mergeCell ref="B113:C113"/>
    <mergeCell ref="B115:C115"/>
    <mergeCell ref="A105:A106"/>
    <mergeCell ref="B110:C110"/>
    <mergeCell ref="D110:E110"/>
    <mergeCell ref="F110:G110"/>
    <mergeCell ref="H110:I110"/>
    <mergeCell ref="J110:K110"/>
    <mergeCell ref="B105:C105"/>
    <mergeCell ref="D105:E105"/>
    <mergeCell ref="F105:G105"/>
  </mergeCells>
  <phoneticPr fontId="9" type="noConversion"/>
  <dataValidations count="6">
    <dataValidation allowBlank="1" showInputMessage="1" showErrorMessage="1" promptTitle="Текущий кредитный портфель" prompt="Общая сумма дебиторской задолженности по займам на_x000a_определенный момент времени (общая сумма долга заемщиков перед организацией), которая является текущей, без просрочек и неплатежей." sqref="A91"/>
    <dataValidation allowBlank="1" showInputMessage="1" showErrorMessage="1" prompt="частные дома, квартиры, нежилые помещения, склады, земля и т.д." sqref="A59"/>
    <dataValidation allowBlank="1" showInputMessage="1" showErrorMessage="1" prompt="материальные ценности - мебель, бытовые приборы (холодильник, телевизор, компьютер и т.д.) и другие ценности, автомобиль, с/х техника, оборудования и другое движимое имущество. " sqref="A60"/>
    <dataValidation allowBlank="1" showInputMessage="1" showErrorMessage="1" prompt="кредиты обеспеченные гарантией/поручительством третьих лиц. Сюда также входят групповые кредиты." sqref="A61"/>
    <dataValidation allowBlank="1" showInputMessage="1" showErrorMessage="1" prompt="кредиты выданные без какого либо обеспечения." sqref="A62"/>
    <dataValidation allowBlank="1" showInputMessage="1" showErrorMessage="1" prompt="Кредиты, выданные членам органов управления и/или их родственникам; акционерам/участникам и/или их родственникам; лицам, имеющие единый источник доходов.  " sqref="A108"/>
  </dataValidations>
  <pageMargins left="0.22" right="0.31" top="0.3" bottom="0.16" header="0.31" footer="0.17"/>
  <pageSetup paperSize="9" scale="79" orientation="landscape" r:id="rId1"/>
  <headerFooter alignWithMargins="0"/>
  <rowBreaks count="2" manualBreakCount="2">
    <brk id="46" max="16383" man="1"/>
    <brk id="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9" r:id="rId4" name="Drop Down 5">
              <controlPr defaultSize="0" print="0" autoLine="0" autoPict="0">
                <anchor moveWithCells="1">
                  <from>
                    <xdr:col>1</xdr:col>
                    <xdr:colOff>9525</xdr:colOff>
                    <xdr:row>2</xdr:row>
                    <xdr:rowOff>9525</xdr:rowOff>
                  </from>
                  <to>
                    <xdr:col>1</xdr:col>
                    <xdr:colOff>742950</xdr:colOff>
                    <xdr:row>3</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0"/>
  <dimension ref="A2:K44"/>
  <sheetViews>
    <sheetView zoomScaleNormal="100" workbookViewId="0">
      <selection activeCell="A9" sqref="A9"/>
    </sheetView>
  </sheetViews>
  <sheetFormatPr defaultRowHeight="11.25" x14ac:dyDescent="0.2"/>
  <cols>
    <col min="1" max="1" width="45.85546875" style="1" customWidth="1"/>
    <col min="2" max="2" width="19.140625" style="1" customWidth="1"/>
    <col min="3" max="3" width="18.85546875" style="1" customWidth="1"/>
    <col min="4" max="11" width="17" style="1" bestFit="1" customWidth="1"/>
    <col min="12" max="16384" width="9.140625" style="1"/>
  </cols>
  <sheetData>
    <row r="2" spans="1:11" x14ac:dyDescent="0.2">
      <c r="A2" s="8">
        <f>Заявка!B15</f>
        <v>0</v>
      </c>
    </row>
    <row r="3" spans="1:11" ht="12" thickBot="1" x14ac:dyDescent="0.25"/>
    <row r="4" spans="1:11" ht="12" thickBot="1" x14ac:dyDescent="0.25">
      <c r="A4" s="8" t="str">
        <f>IF(L!$B$624=1,L!C628,L!B628)</f>
        <v>ОПИСАНИЕ КРЕДИТНЫХ ПРОДУКТОВ ПО СОСТОЯНИЮ НА</v>
      </c>
      <c r="B4" s="332">
        <f>Баланс!H6</f>
        <v>0</v>
      </c>
    </row>
    <row r="5" spans="1:11" ht="12" thickBot="1" x14ac:dyDescent="0.25"/>
    <row r="6" spans="1:11" ht="13.5" customHeight="1" x14ac:dyDescent="0.2">
      <c r="A6" s="987" t="str">
        <f>IF(L!$B$624=1,L!C630,L!B630)</f>
        <v>Характеристика кредитного продукта</v>
      </c>
      <c r="B6" s="563" t="str">
        <f>IF(L!$B$624=1,L!C629,L!B629)</f>
        <v>Кредитный продукт</v>
      </c>
      <c r="C6" s="563" t="str">
        <f>IF(L!$B$624=1,L!C629,L!B629)</f>
        <v>Кредитный продукт</v>
      </c>
      <c r="D6" s="563" t="str">
        <f>IF(L!$B$624=1,L!C629,L!B629)</f>
        <v>Кредитный продукт</v>
      </c>
      <c r="E6" s="563" t="str">
        <f>IF(L!$B$624=1,L!C629,L!B629)</f>
        <v>Кредитный продукт</v>
      </c>
      <c r="F6" s="563" t="str">
        <f>IF(L!$B$624=1,L!C629,L!B629)</f>
        <v>Кредитный продукт</v>
      </c>
      <c r="G6" s="563" t="str">
        <f>IF(L!$B$624=1,L!C629,L!B629)</f>
        <v>Кредитный продукт</v>
      </c>
      <c r="H6" s="563" t="str">
        <f>IF(L!$B$624=1,L!C629,L!B629)</f>
        <v>Кредитный продукт</v>
      </c>
      <c r="I6" s="563" t="str">
        <f>IF(L!$B$624=1,L!C629,L!B629)</f>
        <v>Кредитный продукт</v>
      </c>
      <c r="J6" s="563" t="str">
        <f>IF(L!$B$624=1,L!C629,L!B629)</f>
        <v>Кредитный продукт</v>
      </c>
      <c r="K6" s="564" t="str">
        <f>IF(L!$B$624=1,L!C629,L!B629)</f>
        <v>Кредитный продукт</v>
      </c>
    </row>
    <row r="7" spans="1:11" x14ac:dyDescent="0.2">
      <c r="A7" s="988"/>
      <c r="B7" s="558" t="s">
        <v>894</v>
      </c>
      <c r="C7" s="558" t="s">
        <v>895</v>
      </c>
      <c r="D7" s="558" t="s">
        <v>896</v>
      </c>
      <c r="E7" s="558" t="s">
        <v>897</v>
      </c>
      <c r="F7" s="558" t="s">
        <v>898</v>
      </c>
      <c r="G7" s="558" t="s">
        <v>899</v>
      </c>
      <c r="H7" s="558" t="s">
        <v>900</v>
      </c>
      <c r="I7" s="558" t="s">
        <v>901</v>
      </c>
      <c r="J7" s="558" t="s">
        <v>902</v>
      </c>
      <c r="K7" s="565" t="s">
        <v>903</v>
      </c>
    </row>
    <row r="8" spans="1:11" x14ac:dyDescent="0.2">
      <c r="A8" s="566" t="str">
        <f>IF(L!$B$624=1,L!C631,L!B631)</f>
        <v>Наименование кредитного продукта</v>
      </c>
      <c r="B8" s="579"/>
      <c r="C8" s="579"/>
      <c r="D8" s="579"/>
      <c r="E8" s="579"/>
      <c r="F8" s="579"/>
      <c r="G8" s="579"/>
      <c r="H8" s="579"/>
      <c r="I8" s="579"/>
      <c r="J8" s="579"/>
      <c r="K8" s="580"/>
    </row>
    <row r="9" spans="1:11" ht="21" customHeight="1" x14ac:dyDescent="0.2">
      <c r="A9" s="566" t="str">
        <f>IF(L!$B$624=1,L!C632,L!B632)</f>
        <v>Цель кредита</v>
      </c>
      <c r="B9" s="579"/>
      <c r="C9" s="579"/>
      <c r="D9" s="579"/>
      <c r="E9" s="579"/>
      <c r="F9" s="579"/>
      <c r="G9" s="579"/>
      <c r="H9" s="579"/>
      <c r="I9" s="579"/>
      <c r="J9" s="579"/>
      <c r="K9" s="581"/>
    </row>
    <row r="10" spans="1:11" x14ac:dyDescent="0.2">
      <c r="A10" s="566" t="str">
        <f>IF(L!$B$624=1,L!C633,L!B633)</f>
        <v>Методология кредитования</v>
      </c>
      <c r="B10" s="579"/>
      <c r="C10" s="579"/>
      <c r="D10" s="579"/>
      <c r="E10" s="579"/>
      <c r="F10" s="579"/>
      <c r="G10" s="579"/>
      <c r="H10" s="579"/>
      <c r="I10" s="579"/>
      <c r="J10" s="579"/>
      <c r="K10" s="581"/>
    </row>
    <row r="11" spans="1:11" x14ac:dyDescent="0.2">
      <c r="A11" s="566" t="str">
        <f>IF(L!$B$624=1,L!C634,L!B634)</f>
        <v>Залоговое обеспечение</v>
      </c>
      <c r="B11" s="579"/>
      <c r="C11" s="579"/>
      <c r="D11" s="579"/>
      <c r="E11" s="579"/>
      <c r="F11" s="579"/>
      <c r="G11" s="579"/>
      <c r="H11" s="579"/>
      <c r="I11" s="579"/>
      <c r="J11" s="579"/>
      <c r="K11" s="581"/>
    </row>
    <row r="12" spans="1:11" x14ac:dyDescent="0.2">
      <c r="A12" s="567" t="str">
        <f>IF(L!$B$624=1,L!C635,L!B635)</f>
        <v>График погашения:</v>
      </c>
      <c r="B12" s="559"/>
      <c r="C12" s="559"/>
      <c r="D12" s="559"/>
      <c r="E12" s="559"/>
      <c r="F12" s="559"/>
      <c r="G12" s="559"/>
      <c r="H12" s="559"/>
      <c r="I12" s="559"/>
      <c r="J12" s="559"/>
      <c r="K12" s="568"/>
    </row>
    <row r="13" spans="1:11" x14ac:dyDescent="0.2">
      <c r="A13" s="569" t="str">
        <f>IF(L!$B$624=1,L!C636,L!B636)</f>
        <v xml:space="preserve">     Основной суммы</v>
      </c>
      <c r="B13" s="579"/>
      <c r="C13" s="579"/>
      <c r="D13" s="579"/>
      <c r="E13" s="579"/>
      <c r="F13" s="579"/>
      <c r="G13" s="579"/>
      <c r="H13" s="579"/>
      <c r="I13" s="579"/>
      <c r="J13" s="579"/>
      <c r="K13" s="581"/>
    </row>
    <row r="14" spans="1:11" x14ac:dyDescent="0.2">
      <c r="A14" s="569" t="str">
        <f>IF(L!$B$624=1,L!C637,L!B637)</f>
        <v xml:space="preserve">     Начисленных процентов</v>
      </c>
      <c r="B14" s="579"/>
      <c r="C14" s="579"/>
      <c r="D14" s="579"/>
      <c r="E14" s="579"/>
      <c r="F14" s="579"/>
      <c r="G14" s="579"/>
      <c r="H14" s="579"/>
      <c r="I14" s="579"/>
      <c r="J14" s="579"/>
      <c r="K14" s="581"/>
    </row>
    <row r="15" spans="1:11" x14ac:dyDescent="0.2">
      <c r="A15" s="569" t="str">
        <f>IF(L!$B$624=1,L!C638,L!B638)</f>
        <v xml:space="preserve">     Льготный период</v>
      </c>
      <c r="B15" s="582"/>
      <c r="C15" s="582"/>
      <c r="D15" s="582"/>
      <c r="E15" s="583"/>
      <c r="F15" s="583"/>
      <c r="G15" s="583"/>
      <c r="H15" s="583"/>
      <c r="I15" s="583"/>
      <c r="J15" s="583"/>
      <c r="K15" s="584"/>
    </row>
    <row r="16" spans="1:11" x14ac:dyDescent="0.2">
      <c r="A16" s="567" t="str">
        <f>IF(L!$B$624=1,L!C639,L!B639)</f>
        <v>Размер кредита:</v>
      </c>
      <c r="B16" s="560"/>
      <c r="C16" s="560"/>
      <c r="D16" s="560"/>
      <c r="E16" s="560"/>
      <c r="F16" s="560"/>
      <c r="G16" s="560"/>
      <c r="H16" s="560"/>
      <c r="I16" s="560"/>
      <c r="J16" s="560"/>
      <c r="K16" s="570"/>
    </row>
    <row r="17" spans="1:11" x14ac:dyDescent="0.2">
      <c r="A17" s="569" t="str">
        <f>IF(L!$B$624=1,L!C640,L!B640)</f>
        <v xml:space="preserve">    Минимальная сумма </v>
      </c>
      <c r="B17" s="585"/>
      <c r="C17" s="585"/>
      <c r="D17" s="585"/>
      <c r="E17" s="585"/>
      <c r="F17" s="585"/>
      <c r="G17" s="585"/>
      <c r="H17" s="585"/>
      <c r="I17" s="585"/>
      <c r="J17" s="585"/>
      <c r="K17" s="586"/>
    </row>
    <row r="18" spans="1:11" x14ac:dyDescent="0.2">
      <c r="A18" s="569" t="str">
        <f>IF(L!$B$624=1,L!C641,L!B641)</f>
        <v xml:space="preserve">    Максимальная сумма </v>
      </c>
      <c r="B18" s="585"/>
      <c r="C18" s="585"/>
      <c r="D18" s="585"/>
      <c r="E18" s="585"/>
      <c r="F18" s="585"/>
      <c r="G18" s="585"/>
      <c r="H18" s="585"/>
      <c r="I18" s="585"/>
      <c r="J18" s="585"/>
      <c r="K18" s="586"/>
    </row>
    <row r="19" spans="1:11" x14ac:dyDescent="0.2">
      <c r="A19" s="569" t="str">
        <f>IF(L!$B$624=1,L!C642,L!B642)</f>
        <v xml:space="preserve">   Средняя сумма</v>
      </c>
      <c r="B19" s="587"/>
      <c r="C19" s="587"/>
      <c r="D19" s="587"/>
      <c r="E19" s="585"/>
      <c r="F19" s="585"/>
      <c r="G19" s="585"/>
      <c r="H19" s="585"/>
      <c r="I19" s="585"/>
      <c r="J19" s="585"/>
      <c r="K19" s="586"/>
    </row>
    <row r="20" spans="1:11" x14ac:dyDescent="0.2">
      <c r="A20" s="567" t="str">
        <f>IF(L!$B$624=1,L!C643,L!B643)</f>
        <v>Срок кредита:</v>
      </c>
      <c r="B20" s="561"/>
      <c r="C20" s="561"/>
      <c r="D20" s="561"/>
      <c r="E20" s="561"/>
      <c r="F20" s="561"/>
      <c r="G20" s="561"/>
      <c r="H20" s="561"/>
      <c r="I20" s="561"/>
      <c r="J20" s="561"/>
      <c r="K20" s="571"/>
    </row>
    <row r="21" spans="1:11" x14ac:dyDescent="0.2">
      <c r="A21" s="569" t="str">
        <f>IF(L!$B$624=1,L!C644,L!B644)</f>
        <v xml:space="preserve">   Минимум</v>
      </c>
      <c r="B21" s="585"/>
      <c r="C21" s="585"/>
      <c r="D21" s="585"/>
      <c r="E21" s="585"/>
      <c r="F21" s="585"/>
      <c r="G21" s="585"/>
      <c r="H21" s="585"/>
      <c r="I21" s="585"/>
      <c r="J21" s="585"/>
      <c r="K21" s="586"/>
    </row>
    <row r="22" spans="1:11" x14ac:dyDescent="0.2">
      <c r="A22" s="569" t="str">
        <f>IF(L!$B$624=1,L!C645,L!B645)</f>
        <v xml:space="preserve">   Максимум</v>
      </c>
      <c r="B22" s="585"/>
      <c r="C22" s="585"/>
      <c r="D22" s="585"/>
      <c r="E22" s="585"/>
      <c r="F22" s="585"/>
      <c r="G22" s="585"/>
      <c r="H22" s="585"/>
      <c r="I22" s="585"/>
      <c r="J22" s="585"/>
      <c r="K22" s="586"/>
    </row>
    <row r="23" spans="1:11" x14ac:dyDescent="0.2">
      <c r="A23" s="569" t="str">
        <f>IF(L!$B$624=1,L!C646,L!B646)</f>
        <v xml:space="preserve">   Средний срок</v>
      </c>
      <c r="B23" s="585"/>
      <c r="C23" s="585"/>
      <c r="D23" s="585"/>
      <c r="E23" s="585"/>
      <c r="F23" s="585"/>
      <c r="G23" s="585"/>
      <c r="H23" s="585"/>
      <c r="I23" s="585"/>
      <c r="J23" s="585"/>
      <c r="K23" s="586"/>
    </row>
    <row r="24" spans="1:11" x14ac:dyDescent="0.2">
      <c r="A24" s="567" t="str">
        <f>IF(L!$B$624=1,L!C647,L!B647)</f>
        <v>Процентная ставка:</v>
      </c>
      <c r="B24" s="562"/>
      <c r="C24" s="562"/>
      <c r="D24" s="562"/>
      <c r="E24" s="562"/>
      <c r="F24" s="562"/>
      <c r="G24" s="562"/>
      <c r="H24" s="562"/>
      <c r="I24" s="562"/>
      <c r="J24" s="562"/>
      <c r="K24" s="572"/>
    </row>
    <row r="25" spans="1:11" x14ac:dyDescent="0.2">
      <c r="A25" s="569" t="str">
        <f>IF(L!$B$624=1,L!C648,L!B648)</f>
        <v xml:space="preserve">   Минимум</v>
      </c>
      <c r="B25" s="588"/>
      <c r="C25" s="588"/>
      <c r="D25" s="588"/>
      <c r="E25" s="588"/>
      <c r="F25" s="588"/>
      <c r="G25" s="588"/>
      <c r="H25" s="588"/>
      <c r="I25" s="588"/>
      <c r="J25" s="588"/>
      <c r="K25" s="589"/>
    </row>
    <row r="26" spans="1:11" x14ac:dyDescent="0.2">
      <c r="A26" s="569" t="str">
        <f>IF(L!$B$624=1,L!C649,L!B649)</f>
        <v xml:space="preserve">   Максимум</v>
      </c>
      <c r="B26" s="588"/>
      <c r="C26" s="588"/>
      <c r="D26" s="588"/>
      <c r="E26" s="588"/>
      <c r="F26" s="588"/>
      <c r="G26" s="588"/>
      <c r="H26" s="588"/>
      <c r="I26" s="588"/>
      <c r="J26" s="588"/>
      <c r="K26" s="589"/>
    </row>
    <row r="27" spans="1:11" x14ac:dyDescent="0.2">
      <c r="A27" s="569" t="str">
        <f>IF(L!$B$624=1,L!C650,L!B650)</f>
        <v xml:space="preserve">   Средняя ставка</v>
      </c>
      <c r="B27" s="588"/>
      <c r="C27" s="588"/>
      <c r="D27" s="588"/>
      <c r="E27" s="588"/>
      <c r="F27" s="588"/>
      <c r="G27" s="588"/>
      <c r="H27" s="588"/>
      <c r="I27" s="588"/>
      <c r="J27" s="588"/>
      <c r="K27" s="589"/>
    </row>
    <row r="28" spans="1:11" x14ac:dyDescent="0.2">
      <c r="A28" s="566" t="str">
        <f>IF(L!$B$624=1,L!C651,L!B651)</f>
        <v>База начисления процентов</v>
      </c>
      <c r="B28" s="590"/>
      <c r="C28" s="590"/>
      <c r="D28" s="590"/>
      <c r="E28" s="590"/>
      <c r="F28" s="590"/>
      <c r="G28" s="590"/>
      <c r="H28" s="590"/>
      <c r="I28" s="590"/>
      <c r="J28" s="590"/>
      <c r="K28" s="591"/>
    </row>
    <row r="29" spans="1:11" x14ac:dyDescent="0.2">
      <c r="A29" s="566" t="str">
        <f>IF(L!$B$624=1,L!C652,L!B652)</f>
        <v>Комиссия за выдачу кредита</v>
      </c>
      <c r="B29" s="588"/>
      <c r="C29" s="588"/>
      <c r="D29" s="588"/>
      <c r="E29" s="588"/>
      <c r="F29" s="588"/>
      <c r="G29" s="588"/>
      <c r="H29" s="588"/>
      <c r="I29" s="588"/>
      <c r="J29" s="588"/>
      <c r="K29" s="589"/>
    </row>
    <row r="30" spans="1:11" x14ac:dyDescent="0.2">
      <c r="A30" s="566" t="str">
        <f>IF(L!$B$624=1,L!C653,L!B653)</f>
        <v xml:space="preserve">Требования к страхованию </v>
      </c>
      <c r="B30" s="588"/>
      <c r="C30" s="588"/>
      <c r="D30" s="588"/>
      <c r="E30" s="588"/>
      <c r="F30" s="588"/>
      <c r="G30" s="588"/>
      <c r="H30" s="588"/>
      <c r="I30" s="588"/>
      <c r="J30" s="588"/>
      <c r="K30" s="589"/>
    </row>
    <row r="31" spans="1:11" ht="12" thickBot="1" x14ac:dyDescent="0.25">
      <c r="A31" s="573" t="str">
        <f>IF(L!$B$624=1,L!C654,L!B654)</f>
        <v>Обязательное сбережение</v>
      </c>
      <c r="B31" s="592"/>
      <c r="C31" s="592"/>
      <c r="D31" s="592"/>
      <c r="E31" s="592"/>
      <c r="F31" s="592"/>
      <c r="G31" s="592"/>
      <c r="H31" s="592"/>
      <c r="I31" s="592"/>
      <c r="J31" s="592"/>
      <c r="K31" s="593"/>
    </row>
    <row r="32" spans="1:11" ht="12" thickBot="1" x14ac:dyDescent="0.25">
      <c r="A32" s="574"/>
      <c r="B32" s="575"/>
      <c r="C32" s="575"/>
      <c r="D32" s="575"/>
      <c r="E32" s="575"/>
      <c r="F32" s="575"/>
      <c r="G32" s="575"/>
      <c r="H32" s="575"/>
      <c r="I32" s="575"/>
      <c r="J32" s="575"/>
      <c r="K32" s="576"/>
    </row>
    <row r="33" spans="1:11" x14ac:dyDescent="0.2">
      <c r="A33" s="577" t="str">
        <f>IF(L!$B$624=1,L!C656,L!B656)</f>
        <v>Кол-во действующих кредитов</v>
      </c>
      <c r="B33" s="594"/>
      <c r="C33" s="594"/>
      <c r="D33" s="594"/>
      <c r="E33" s="594"/>
      <c r="F33" s="594"/>
      <c r="G33" s="594"/>
      <c r="H33" s="594"/>
      <c r="I33" s="594"/>
      <c r="J33" s="594"/>
      <c r="K33" s="595"/>
    </row>
    <row r="34" spans="1:11" x14ac:dyDescent="0.2">
      <c r="A34" s="566" t="str">
        <f>IF(L!$B$624=1,L!C657,L!B657)</f>
        <v>Кол-во действующих заемщиков</v>
      </c>
      <c r="B34" s="585"/>
      <c r="C34" s="585"/>
      <c r="D34" s="585"/>
      <c r="E34" s="585"/>
      <c r="F34" s="585"/>
      <c r="G34" s="585"/>
      <c r="H34" s="585"/>
      <c r="I34" s="585"/>
      <c r="J34" s="585"/>
      <c r="K34" s="586"/>
    </row>
    <row r="35" spans="1:11" x14ac:dyDescent="0.2">
      <c r="A35" s="566" t="str">
        <f>IF(L!$B$624=1,L!C658,L!B658)</f>
        <v>Общий кредитный портфель</v>
      </c>
      <c r="B35" s="585"/>
      <c r="C35" s="585"/>
      <c r="D35" s="585"/>
      <c r="E35" s="585"/>
      <c r="F35" s="585"/>
      <c r="G35" s="585"/>
      <c r="H35" s="585"/>
      <c r="I35" s="585"/>
      <c r="J35" s="585"/>
      <c r="K35" s="586"/>
    </row>
    <row r="36" spans="1:11" ht="27.75" customHeight="1" thickBot="1" x14ac:dyDescent="0.25">
      <c r="A36" s="443" t="str">
        <f>IF(L!$B$624=1,L!C659,L!B659)</f>
        <v>Портфель в риске свыше 30 дней + пролонгированные/реструктурированные кредиты</v>
      </c>
      <c r="B36" s="654"/>
      <c r="C36" s="654"/>
      <c r="D36" s="654"/>
      <c r="E36" s="654"/>
      <c r="F36" s="654"/>
      <c r="G36" s="654"/>
      <c r="H36" s="654"/>
      <c r="I36" s="654"/>
      <c r="J36" s="654"/>
      <c r="K36" s="655"/>
    </row>
    <row r="39" spans="1:11" ht="12" thickBot="1" x14ac:dyDescent="0.25"/>
    <row r="40" spans="1:11" x14ac:dyDescent="0.2">
      <c r="A40" s="596" t="str">
        <f>IF(L!$B$624=1,L!C663,L!B663)</f>
        <v>ИТОГОВЫЕ ЗНАЧЕНИЯ ДАННОГО РАЗДЕЛА</v>
      </c>
      <c r="B40" s="597">
        <f>B4</f>
        <v>0</v>
      </c>
    </row>
    <row r="41" spans="1:11" x14ac:dyDescent="0.2">
      <c r="A41" s="598" t="str">
        <f>IF(L!$B$624=1,L!C664,L!B664)</f>
        <v>Кол-во действующих кредитов</v>
      </c>
      <c r="B41" s="599">
        <f>SUM(B33:K33)</f>
        <v>0</v>
      </c>
      <c r="C41" s="578" t="str">
        <f>IF(B41=0,"",IF(AND(B41&gt;0,B41&lt;&gt;Портфель!M99),"Внимание! Общее кол-во кредитов в разделе ПРОДУКТЫ не равняется общему кол-ву кредитов в разделе ПОРТФЕЛЬ",""))</f>
        <v/>
      </c>
    </row>
    <row r="42" spans="1:11" x14ac:dyDescent="0.2">
      <c r="A42" s="598" t="str">
        <f>IF(L!$B$624=1,L!C665,L!B665)</f>
        <v>Кол-во действующих заемщиков</v>
      </c>
      <c r="B42" s="599">
        <f>SUM(B34:K34)</f>
        <v>0</v>
      </c>
      <c r="C42" s="578" t="str">
        <f>IF(B42=0,"",IF(AND(B42&gt;0,B42&lt;&gt;Портфель!L114),"Внимание! Общее кол-во заемщиков в разделе ПРОДУКТЫ не равняется общему кол-ву заемщиков в разделе ПОРТФЕЛЬ",""))</f>
        <v/>
      </c>
    </row>
    <row r="43" spans="1:11" x14ac:dyDescent="0.2">
      <c r="A43" s="598" t="str">
        <f>IF(L!$B$624=1,L!C666,L!B666)</f>
        <v>Общий кредитный портфель</v>
      </c>
      <c r="B43" s="599">
        <f>SUM(B35:K35)</f>
        <v>0</v>
      </c>
      <c r="C43" s="578" t="str">
        <f>IF(B43=0,"",IF(AND(B43&gt;0,B43&lt;&gt;Портфель!L99),"Внимание! Общий портфель в разделе ПРОДУКТЫ не равняется общему портфелю в разделе ПОРТФЕЛЬ",""))</f>
        <v/>
      </c>
    </row>
    <row r="44" spans="1:11" ht="23.25" thickBot="1" x14ac:dyDescent="0.25">
      <c r="A44" s="451" t="str">
        <f>IF(L!$B$624=1,L!C667,L!B667)</f>
        <v>Портфель в риске свыше 30 дней + пролонгированные/реструктурированные кредиты</v>
      </c>
      <c r="B44" s="600">
        <f>SUM(B36:K36)</f>
        <v>0</v>
      </c>
      <c r="C44" s="578" t="str">
        <f>IF(B44=0,"",IF(AND(B44&gt;0,B44&lt;&gt;SUM(Портфель!L94:L98)),"Внимание! Общий портфель в риске в разделе ПРОДУКТЫ не равняется общему портфелю в риске в разделе ПОРТФЕЛЬ",""))</f>
        <v/>
      </c>
    </row>
  </sheetData>
  <sheetProtection password="8FDE" sheet="1" formatCells="0" formatColumns="0" formatRows="0" insertColumns="0" insertRows="0"/>
  <protectedRanges>
    <protectedRange sqref="B9:K14 B24:K28 K8 E15:K15 E17:K18 E21:K23 B19:K19 E29:K31 B32:K36" name="Range1"/>
    <protectedRange sqref="B8:J8" name="Range1_3"/>
    <protectedRange sqref="B15:D15" name="Range1_4"/>
    <protectedRange sqref="B17:D18" name="Range1_5"/>
    <protectedRange sqref="B21:D23" name="Range1_1"/>
    <protectedRange sqref="B29:D29" name="Range1_2"/>
    <protectedRange sqref="B30:D31" name="Range1_6"/>
  </protectedRanges>
  <dataConsolidate/>
  <mergeCells count="1">
    <mergeCell ref="A6:A7"/>
  </mergeCells>
  <dataValidations count="10">
    <dataValidation allowBlank="1" showInputMessage="1" showErrorMessage="1" sqref="B8:K31"/>
    <dataValidation allowBlank="1" showInputMessage="1" showErrorMessage="1" prompt="Опишите на какие цели выдаются данные виды кредитов" sqref="A9"/>
    <dataValidation allowBlank="1" showInputMessage="1" showErrorMessage="1" prompt="Индивидуальное или групповое кредитование?" sqref="A10"/>
    <dataValidation allowBlank="1" showInputMessage="1" showErrorMessage="1" prompt="Что должен заемщик выставить в залог, чтобы получить данный вид кредита?" sqref="A11"/>
    <dataValidation allowBlank="1" showInputMessage="1" showErrorMessage="1" prompt="Опишите какой график погашения применяется по данному кредиту (ежемесячно, аннуитет, ежеквартально, в конце срока и т.д.)" sqref="A12"/>
    <dataValidation allowBlank="1" showInputMessage="1" showErrorMessage="1" prompt="В каком размере могут быть выданы данные кредиты?" sqref="A16"/>
    <dataValidation allowBlank="1" showInputMessage="1" showErrorMessage="1" prompt="На какие сроки могут быть выданы такие кредиты?" sqref="A20"/>
    <dataValidation allowBlank="1" showInputMessage="1" showErrorMessage="1" prompt="Укажите, процентные ставки на выдаваемые кредиты." sqref="A24"/>
    <dataValidation allowBlank="1" showInputMessage="1" showErrorMessage="1" prompt="Что является базой для начисления процентов - уменьшающийся остаток кредита или первоначальная сумма кредита?" sqref="A28"/>
    <dataValidation allowBlank="1" showInputMessage="1" showErrorMessage="1" prompt="Есть ли требование к страхованию кредита?" sqref="A30"/>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1574" r:id="rId4" name="Drop Down 6">
              <controlPr defaultSize="0" print="0" autoLine="0" autoPict="0">
                <anchor moveWithCells="1">
                  <from>
                    <xdr:col>1</xdr:col>
                    <xdr:colOff>66675</xdr:colOff>
                    <xdr:row>0</xdr:row>
                    <xdr:rowOff>95250</xdr:rowOff>
                  </from>
                  <to>
                    <xdr:col>1</xdr:col>
                    <xdr:colOff>800100</xdr:colOff>
                    <xdr:row>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1"/>
  <dimension ref="A1:Q68"/>
  <sheetViews>
    <sheetView showGridLines="0" zoomScaleNormal="100" workbookViewId="0">
      <selection activeCell="B17" sqref="B17"/>
    </sheetView>
  </sheetViews>
  <sheetFormatPr defaultColWidth="12.7109375" defaultRowHeight="11.25" x14ac:dyDescent="0.2"/>
  <cols>
    <col min="1" max="1" width="3" style="216" customWidth="1"/>
    <col min="2" max="2" width="34.85546875" style="216" customWidth="1"/>
    <col min="3" max="3" width="15.42578125" style="216" customWidth="1"/>
    <col min="4" max="4" width="10" style="216" customWidth="1"/>
    <col min="5" max="5" width="12.85546875" style="216" bestFit="1" customWidth="1"/>
    <col min="6" max="6" width="9.7109375" style="216" bestFit="1" customWidth="1"/>
    <col min="7" max="7" width="14.28515625" style="216" customWidth="1"/>
    <col min="8" max="8" width="14" style="216" customWidth="1"/>
    <col min="9" max="9" width="13.28515625" style="216" customWidth="1"/>
    <col min="10" max="10" width="11" style="216" customWidth="1"/>
    <col min="11" max="11" width="15" style="216" customWidth="1"/>
    <col min="12" max="12" width="9.7109375" style="216" customWidth="1"/>
    <col min="13" max="13" width="12.7109375" style="216" customWidth="1"/>
    <col min="14" max="14" width="8.85546875" style="216" customWidth="1"/>
    <col min="15" max="17" width="12.7109375" style="216" customWidth="1"/>
    <col min="18" max="16384" width="12.7109375" style="6"/>
  </cols>
  <sheetData>
    <row r="1" spans="1:17" x14ac:dyDescent="0.2">
      <c r="A1" s="6"/>
      <c r="B1" s="6"/>
      <c r="C1" s="6"/>
      <c r="D1" s="6"/>
      <c r="E1" s="6"/>
      <c r="F1" s="6"/>
      <c r="G1" s="6"/>
      <c r="H1" s="6"/>
      <c r="I1" s="6"/>
      <c r="J1" s="6"/>
    </row>
    <row r="2" spans="1:17" x14ac:dyDescent="0.2">
      <c r="A2" s="30" t="str">
        <f>IF(Заявка!B15&gt;0,Заявка!B15,"")</f>
        <v/>
      </c>
      <c r="B2" s="346"/>
      <c r="C2" s="6"/>
      <c r="D2" s="6"/>
      <c r="E2" s="6"/>
      <c r="F2" s="6"/>
      <c r="G2" s="6"/>
      <c r="H2" s="6"/>
      <c r="I2" s="6"/>
      <c r="J2" s="6"/>
    </row>
    <row r="3" spans="1:17" ht="12" thickBot="1" x14ac:dyDescent="0.25">
      <c r="A3" s="6"/>
      <c r="B3" s="6"/>
      <c r="C3" s="6"/>
      <c r="D3" s="6"/>
      <c r="E3" s="6"/>
      <c r="F3" s="6"/>
      <c r="G3" s="6"/>
      <c r="H3" s="6"/>
      <c r="I3" s="6"/>
      <c r="J3" s="6"/>
    </row>
    <row r="4" spans="1:17" ht="12" thickBot="1" x14ac:dyDescent="0.25">
      <c r="A4" s="211" t="str">
        <f>IF(L!$B$592=2,L!B596,L!C596)</f>
        <v>Информация о портфеле в риске по состоянию на последнюю отчетную дату:</v>
      </c>
      <c r="B4" s="36"/>
      <c r="C4" s="204"/>
      <c r="D4" s="204"/>
      <c r="E4" s="207">
        <f>Баланс!H6</f>
        <v>0</v>
      </c>
      <c r="G4" s="6"/>
      <c r="H4" s="6"/>
      <c r="I4" s="6"/>
      <c r="J4" s="6"/>
    </row>
    <row r="5" spans="1:17" ht="12" thickBot="1" x14ac:dyDescent="0.25">
      <c r="A5" s="211"/>
      <c r="B5" s="36"/>
      <c r="C5" s="204"/>
      <c r="D5" s="204"/>
      <c r="E5" s="6"/>
      <c r="F5" s="630"/>
      <c r="G5" s="6"/>
      <c r="H5" s="6"/>
      <c r="I5" s="6"/>
      <c r="J5" s="6"/>
    </row>
    <row r="6" spans="1:17" s="633" customFormat="1" ht="67.5" x14ac:dyDescent="0.2">
      <c r="A6" s="642" t="s">
        <v>17</v>
      </c>
      <c r="B6" s="643" t="str">
        <f>IF(L!$B$592=2,L!B609,L!C609)</f>
        <v>Причины просрочек</v>
      </c>
      <c r="C6" s="644" t="str">
        <f>IF(L!$B$592=2,L!B618,L!C618)</f>
        <v>Сумма просроченных кредитов</v>
      </c>
      <c r="D6" s="644" t="s">
        <v>1256</v>
      </c>
      <c r="E6" s="644" t="str">
        <f>IF(L!$B$592=2,L!B619,L!C619)</f>
        <v>Кол-во просроченных кредитов</v>
      </c>
      <c r="F6" s="644" t="s">
        <v>1256</v>
      </c>
      <c r="G6" s="644" t="str">
        <f>IF(L!$B$592=2,L!B620,L!C620)</f>
        <v>В том числе объем взыскаемыех кредитов через судебные инстанции</v>
      </c>
      <c r="H6" s="645" t="str">
        <f>IF(L!$B$592=2,L!B621,L!C621)</f>
        <v>В том числе кол-во взыскаемыех кредитов через судебные инстанции</v>
      </c>
      <c r="K6" s="634"/>
      <c r="L6" s="634"/>
      <c r="M6" s="634"/>
      <c r="N6" s="634"/>
      <c r="O6" s="634"/>
      <c r="P6" s="634"/>
      <c r="Q6" s="634"/>
    </row>
    <row r="7" spans="1:17" s="633" customFormat="1" ht="22.5" x14ac:dyDescent="0.2">
      <c r="A7" s="646"/>
      <c r="B7" s="636" t="str">
        <f>IF(L!$B$592=2,L!B610,L!C610)</f>
        <v>Итого просроченные кредиты свыше 30 дней</v>
      </c>
      <c r="C7" s="637">
        <f>SUM(Портфель!L94:L97)</f>
        <v>0</v>
      </c>
      <c r="D7" s="638" t="e">
        <f>D8+D9+D10+D11+D12+D13</f>
        <v>#DIV/0!</v>
      </c>
      <c r="E7" s="635">
        <f>SUM(Портфель!M94:M97)</f>
        <v>0</v>
      </c>
      <c r="F7" s="638" t="e">
        <f>F8+F9+F10+F11+F12+F13</f>
        <v>#DIV/0!</v>
      </c>
      <c r="G7" s="637">
        <f>SUM(G8:G13)</f>
        <v>0</v>
      </c>
      <c r="H7" s="647">
        <f>SUM(H8:H13)</f>
        <v>0</v>
      </c>
      <c r="K7" s="634"/>
      <c r="L7" s="634"/>
      <c r="M7" s="634"/>
      <c r="N7" s="634"/>
      <c r="O7" s="634"/>
      <c r="P7" s="634"/>
      <c r="Q7" s="634"/>
    </row>
    <row r="8" spans="1:17" s="631" customFormat="1" ht="22.5" x14ac:dyDescent="0.2">
      <c r="A8" s="646">
        <v>1</v>
      </c>
      <c r="B8" s="639" t="str">
        <f>IF(L!$B$592=2,L!B611,L!C611)</f>
        <v xml:space="preserve">   В том числе по причине затруднения в бизнес деятельности</v>
      </c>
      <c r="C8" s="641"/>
      <c r="D8" s="640" t="e">
        <f t="shared" ref="D8:D13" si="0">C8/$C$7</f>
        <v>#DIV/0!</v>
      </c>
      <c r="E8" s="641"/>
      <c r="F8" s="640" t="e">
        <f t="shared" ref="F8:F13" si="1">E8/$E$7</f>
        <v>#DIV/0!</v>
      </c>
      <c r="G8" s="641"/>
      <c r="H8" s="648"/>
      <c r="K8" s="632"/>
      <c r="L8" s="632"/>
      <c r="M8" s="632"/>
      <c r="N8" s="632"/>
      <c r="O8" s="632"/>
      <c r="P8" s="632"/>
      <c r="Q8" s="632"/>
    </row>
    <row r="9" spans="1:17" s="631" customFormat="1" ht="22.5" x14ac:dyDescent="0.2">
      <c r="A9" s="646">
        <v>2</v>
      </c>
      <c r="B9" s="639" t="str">
        <f>IF(L!$B$592=2,L!B612,L!C612)</f>
        <v xml:space="preserve">   В том числе по причине семейных проблем</v>
      </c>
      <c r="C9" s="641"/>
      <c r="D9" s="640" t="e">
        <f t="shared" si="0"/>
        <v>#DIV/0!</v>
      </c>
      <c r="E9" s="641"/>
      <c r="F9" s="640" t="e">
        <f t="shared" si="1"/>
        <v>#DIV/0!</v>
      </c>
      <c r="G9" s="641"/>
      <c r="H9" s="648"/>
      <c r="K9" s="632"/>
      <c r="L9" s="632"/>
      <c r="M9" s="632"/>
      <c r="N9" s="632"/>
      <c r="O9" s="632"/>
      <c r="P9" s="632"/>
      <c r="Q9" s="632"/>
    </row>
    <row r="10" spans="1:17" s="631" customFormat="1" ht="22.5" x14ac:dyDescent="0.2">
      <c r="A10" s="646">
        <v>3</v>
      </c>
      <c r="B10" s="639" t="str">
        <f>IF(L!$B$592=2,L!B613,L!C613)</f>
        <v xml:space="preserve">   В том числе по причине пошенничества со стороны заемщика</v>
      </c>
      <c r="C10" s="641"/>
      <c r="D10" s="640" t="e">
        <f t="shared" si="0"/>
        <v>#DIV/0!</v>
      </c>
      <c r="E10" s="641"/>
      <c r="F10" s="640" t="e">
        <f t="shared" si="1"/>
        <v>#DIV/0!</v>
      </c>
      <c r="G10" s="641"/>
      <c r="H10" s="648"/>
      <c r="K10" s="632"/>
      <c r="L10" s="632"/>
      <c r="M10" s="632"/>
      <c r="N10" s="632"/>
      <c r="O10" s="632"/>
      <c r="P10" s="632"/>
      <c r="Q10" s="632"/>
    </row>
    <row r="11" spans="1:17" s="631" customFormat="1" ht="22.5" x14ac:dyDescent="0.2">
      <c r="A11" s="646">
        <v>4</v>
      </c>
      <c r="B11" s="639" t="str">
        <f>IF(L!$B$592=2,L!B614,L!C614)</f>
        <v xml:space="preserve">   В том числе по причине мошенничества со стороны сотрудников ФКУ</v>
      </c>
      <c r="C11" s="641"/>
      <c r="D11" s="640" t="e">
        <f t="shared" si="0"/>
        <v>#DIV/0!</v>
      </c>
      <c r="E11" s="641"/>
      <c r="F11" s="640" t="e">
        <f t="shared" si="1"/>
        <v>#DIV/0!</v>
      </c>
      <c r="G11" s="641"/>
      <c r="H11" s="648"/>
      <c r="K11" s="632"/>
      <c r="L11" s="632"/>
      <c r="M11" s="632"/>
      <c r="N11" s="632"/>
      <c r="O11" s="632"/>
      <c r="P11" s="632"/>
      <c r="Q11" s="632"/>
    </row>
    <row r="12" spans="1:17" s="631" customFormat="1" ht="22.5" x14ac:dyDescent="0.2">
      <c r="A12" s="646">
        <v>6</v>
      </c>
      <c r="B12" s="639" t="str">
        <f>IF(L!$B$592=2,L!B615,L!C615)</f>
        <v xml:space="preserve">   В том числе по причине форс мажорных обстоятельств</v>
      </c>
      <c r="C12" s="641"/>
      <c r="D12" s="640" t="e">
        <f t="shared" si="0"/>
        <v>#DIV/0!</v>
      </c>
      <c r="E12" s="641"/>
      <c r="F12" s="640" t="e">
        <f t="shared" si="1"/>
        <v>#DIV/0!</v>
      </c>
      <c r="G12" s="641"/>
      <c r="H12" s="648"/>
      <c r="K12" s="632"/>
      <c r="L12" s="632"/>
      <c r="M12" s="632"/>
      <c r="N12" s="632"/>
      <c r="O12" s="632"/>
      <c r="P12" s="632"/>
      <c r="Q12" s="632"/>
    </row>
    <row r="13" spans="1:17" s="631" customFormat="1" ht="12" thickBot="1" x14ac:dyDescent="0.25">
      <c r="A13" s="649">
        <v>7</v>
      </c>
      <c r="B13" s="650" t="str">
        <f>IF(L!$B$592=2,L!B616,L!C616)</f>
        <v xml:space="preserve">   В том числе по другим причинам</v>
      </c>
      <c r="C13" s="651"/>
      <c r="D13" s="652" t="e">
        <f t="shared" si="0"/>
        <v>#DIV/0!</v>
      </c>
      <c r="E13" s="651"/>
      <c r="F13" s="652" t="e">
        <f t="shared" si="1"/>
        <v>#DIV/0!</v>
      </c>
      <c r="G13" s="651"/>
      <c r="H13" s="653"/>
      <c r="K13" s="632"/>
      <c r="L13" s="632"/>
      <c r="M13" s="632"/>
      <c r="N13" s="632"/>
      <c r="O13" s="632"/>
      <c r="P13" s="632"/>
      <c r="Q13" s="632"/>
    </row>
    <row r="14" spans="1:17" x14ac:dyDescent="0.2">
      <c r="A14" s="211"/>
      <c r="B14" s="36"/>
      <c r="C14" s="204"/>
      <c r="D14" s="204"/>
      <c r="E14" s="6"/>
      <c r="F14" s="630"/>
      <c r="G14" s="6"/>
      <c r="H14" s="6"/>
      <c r="I14" s="6"/>
      <c r="J14" s="6"/>
    </row>
    <row r="15" spans="1:17" x14ac:dyDescent="0.2">
      <c r="A15" s="211" t="str">
        <f>IF(L!$B$592=2,L!B597,L!C597)</f>
        <v>Список всех просроченных кредитов, имеющие просрочки по основной сумме и/или начисленных процентов по состоянию на последнюю отчетную дату.</v>
      </c>
      <c r="B15" s="203"/>
      <c r="C15" s="205"/>
      <c r="D15" s="206"/>
      <c r="E15" s="6"/>
      <c r="F15" s="6"/>
      <c r="G15" s="6"/>
      <c r="H15" s="6"/>
      <c r="I15" s="6"/>
      <c r="J15" s="6"/>
    </row>
    <row r="16" spans="1:17" ht="12" thickBot="1" x14ac:dyDescent="0.25">
      <c r="A16" s="6"/>
      <c r="B16" s="6"/>
      <c r="C16" s="6"/>
      <c r="D16" s="6"/>
      <c r="E16" s="6"/>
      <c r="F16" s="6"/>
      <c r="G16" s="6"/>
      <c r="H16" s="6"/>
      <c r="I16" s="6"/>
      <c r="J16" s="6"/>
    </row>
    <row r="17" spans="1:10" ht="78.75" x14ac:dyDescent="0.2">
      <c r="A17" s="200" t="s">
        <v>17</v>
      </c>
      <c r="B17" s="201" t="str">
        <f>IF(L!$B$592=2,L!B598,L!C598)</f>
        <v>Ф.И.О.</v>
      </c>
      <c r="C17" s="201" t="str">
        <f>IF(L!$B$592=2,L!B599,L!C599)</f>
        <v>Дата выдачи</v>
      </c>
      <c r="D17" s="201" t="str">
        <f>IF(L!$B$592=2,L!B600,L!C600)</f>
        <v>Дата погашения</v>
      </c>
      <c r="E17" s="201" t="str">
        <f>IF(L!$B$592=2,L!B601,L!C601)</f>
        <v>Сумма выданного кредита</v>
      </c>
      <c r="F17" s="201" t="str">
        <f>IF(L!$B$592=2,L!B602,L!C602)</f>
        <v>Сумма просроченных платежей по основной сумме</v>
      </c>
      <c r="G17" s="201" t="str">
        <f>IF(L!$B$592=2,L!B603,L!C603)</f>
        <v>Количество дней просрочки платежей по основной сумме</v>
      </c>
      <c r="H17" s="201" t="str">
        <f>IF(L!$B$592=2,L!B604,L!C604)</f>
        <v>Сумма просроченных платежей по начисленным процентам</v>
      </c>
      <c r="I17" s="201" t="str">
        <f>IF(L!$B$592=2,L!B605,L!C605)</f>
        <v>Количество дней просрочки платежей по начисленным процентам</v>
      </c>
      <c r="J17" s="202" t="str">
        <f>IF(L!$B$592=2,L!B606,L!C606)</f>
        <v>Остаток основной суммы кредита на отчетную дату</v>
      </c>
    </row>
    <row r="18" spans="1:10" x14ac:dyDescent="0.2">
      <c r="A18" s="253">
        <v>1</v>
      </c>
      <c r="B18" s="212"/>
      <c r="C18" s="213"/>
      <c r="D18" s="213"/>
      <c r="E18" s="214"/>
      <c r="F18" s="214"/>
      <c r="G18" s="214"/>
      <c r="H18" s="214"/>
      <c r="I18" s="214"/>
      <c r="J18" s="215"/>
    </row>
    <row r="19" spans="1:10" x14ac:dyDescent="0.2">
      <c r="A19" s="253">
        <v>2</v>
      </c>
      <c r="B19" s="212"/>
      <c r="C19" s="213"/>
      <c r="D19" s="213"/>
      <c r="E19" s="214"/>
      <c r="F19" s="214"/>
      <c r="G19" s="214"/>
      <c r="H19" s="214"/>
      <c r="I19" s="214"/>
      <c r="J19" s="215"/>
    </row>
    <row r="20" spans="1:10" x14ac:dyDescent="0.2">
      <c r="A20" s="253">
        <v>3</v>
      </c>
      <c r="B20" s="212"/>
      <c r="C20" s="213"/>
      <c r="D20" s="213"/>
      <c r="E20" s="214"/>
      <c r="F20" s="214"/>
      <c r="G20" s="214"/>
      <c r="H20" s="214"/>
      <c r="I20" s="214"/>
      <c r="J20" s="215"/>
    </row>
    <row r="21" spans="1:10" x14ac:dyDescent="0.2">
      <c r="A21" s="253">
        <v>4</v>
      </c>
      <c r="B21" s="212"/>
      <c r="C21" s="213"/>
      <c r="D21" s="213"/>
      <c r="E21" s="214"/>
      <c r="F21" s="214"/>
      <c r="G21" s="214"/>
      <c r="H21" s="214"/>
      <c r="I21" s="214"/>
      <c r="J21" s="215"/>
    </row>
    <row r="22" spans="1:10" x14ac:dyDescent="0.2">
      <c r="A22" s="253">
        <v>5</v>
      </c>
      <c r="B22" s="212"/>
      <c r="C22" s="213"/>
      <c r="D22" s="213"/>
      <c r="E22" s="214"/>
      <c r="F22" s="214"/>
      <c r="G22" s="214"/>
      <c r="H22" s="214"/>
      <c r="I22" s="214"/>
      <c r="J22" s="215"/>
    </row>
    <row r="23" spans="1:10" x14ac:dyDescent="0.2">
      <c r="A23" s="253">
        <v>6</v>
      </c>
      <c r="B23" s="212"/>
      <c r="C23" s="213"/>
      <c r="D23" s="213"/>
      <c r="E23" s="214"/>
      <c r="F23" s="214"/>
      <c r="G23" s="214"/>
      <c r="H23" s="214"/>
      <c r="I23" s="214"/>
      <c r="J23" s="215"/>
    </row>
    <row r="24" spans="1:10" x14ac:dyDescent="0.2">
      <c r="A24" s="253">
        <v>7</v>
      </c>
      <c r="B24" s="212"/>
      <c r="C24" s="213"/>
      <c r="D24" s="213"/>
      <c r="E24" s="214"/>
      <c r="F24" s="214"/>
      <c r="G24" s="214"/>
      <c r="H24" s="214"/>
      <c r="I24" s="214"/>
      <c r="J24" s="215"/>
    </row>
    <row r="25" spans="1:10" x14ac:dyDescent="0.2">
      <c r="A25" s="253">
        <v>8</v>
      </c>
      <c r="B25" s="212"/>
      <c r="C25" s="213"/>
      <c r="D25" s="213"/>
      <c r="E25" s="214"/>
      <c r="F25" s="214"/>
      <c r="G25" s="214"/>
      <c r="H25" s="214"/>
      <c r="I25" s="214"/>
      <c r="J25" s="215"/>
    </row>
    <row r="26" spans="1:10" x14ac:dyDescent="0.2">
      <c r="A26" s="253">
        <v>9</v>
      </c>
      <c r="B26" s="212"/>
      <c r="C26" s="213"/>
      <c r="D26" s="213"/>
      <c r="E26" s="214"/>
      <c r="F26" s="214"/>
      <c r="G26" s="214"/>
      <c r="H26" s="214"/>
      <c r="I26" s="214"/>
      <c r="J26" s="215"/>
    </row>
    <row r="27" spans="1:10" x14ac:dyDescent="0.2">
      <c r="A27" s="253">
        <v>10</v>
      </c>
      <c r="B27" s="212"/>
      <c r="C27" s="213"/>
      <c r="D27" s="213"/>
      <c r="E27" s="214"/>
      <c r="F27" s="214"/>
      <c r="G27" s="214"/>
      <c r="H27" s="214"/>
      <c r="I27" s="214"/>
      <c r="J27" s="215"/>
    </row>
    <row r="28" spans="1:10" x14ac:dyDescent="0.2">
      <c r="A28" s="253">
        <v>11</v>
      </c>
      <c r="B28" s="212"/>
      <c r="C28" s="213"/>
      <c r="D28" s="213"/>
      <c r="E28" s="214"/>
      <c r="F28" s="214"/>
      <c r="G28" s="214"/>
      <c r="H28" s="214"/>
      <c r="I28" s="214"/>
      <c r="J28" s="215"/>
    </row>
    <row r="29" spans="1:10" x14ac:dyDescent="0.2">
      <c r="A29" s="253">
        <v>12</v>
      </c>
      <c r="B29" s="212"/>
      <c r="C29" s="213"/>
      <c r="D29" s="213"/>
      <c r="E29" s="214"/>
      <c r="F29" s="214"/>
      <c r="G29" s="214"/>
      <c r="H29" s="214"/>
      <c r="I29" s="214"/>
      <c r="J29" s="215"/>
    </row>
    <row r="30" spans="1:10" x14ac:dyDescent="0.2">
      <c r="A30" s="253">
        <v>13</v>
      </c>
      <c r="B30" s="212"/>
      <c r="C30" s="213"/>
      <c r="D30" s="213"/>
      <c r="E30" s="214"/>
      <c r="F30" s="214"/>
      <c r="G30" s="214"/>
      <c r="H30" s="214"/>
      <c r="I30" s="214"/>
      <c r="J30" s="215"/>
    </row>
    <row r="31" spans="1:10" x14ac:dyDescent="0.2">
      <c r="A31" s="253">
        <v>14</v>
      </c>
      <c r="B31" s="212"/>
      <c r="C31" s="213"/>
      <c r="D31" s="213"/>
      <c r="E31" s="214"/>
      <c r="F31" s="214"/>
      <c r="G31" s="214"/>
      <c r="H31" s="214"/>
      <c r="I31" s="214"/>
      <c r="J31" s="215"/>
    </row>
    <row r="32" spans="1:10" x14ac:dyDescent="0.2">
      <c r="A32" s="253">
        <v>15</v>
      </c>
      <c r="B32" s="212"/>
      <c r="C32" s="213"/>
      <c r="D32" s="213"/>
      <c r="E32" s="214"/>
      <c r="F32" s="214"/>
      <c r="G32" s="214"/>
      <c r="H32" s="214"/>
      <c r="I32" s="214"/>
      <c r="J32" s="215"/>
    </row>
    <row r="33" spans="1:10" x14ac:dyDescent="0.2">
      <c r="A33" s="253">
        <v>16</v>
      </c>
      <c r="B33" s="212"/>
      <c r="C33" s="213"/>
      <c r="D33" s="213"/>
      <c r="E33" s="214"/>
      <c r="F33" s="214"/>
      <c r="G33" s="214"/>
      <c r="H33" s="214"/>
      <c r="I33" s="214"/>
      <c r="J33" s="215"/>
    </row>
    <row r="34" spans="1:10" x14ac:dyDescent="0.2">
      <c r="A34" s="253">
        <v>17</v>
      </c>
      <c r="B34" s="212"/>
      <c r="C34" s="213"/>
      <c r="D34" s="213"/>
      <c r="E34" s="214"/>
      <c r="F34" s="214"/>
      <c r="G34" s="214"/>
      <c r="H34" s="214"/>
      <c r="I34" s="214"/>
      <c r="J34" s="215"/>
    </row>
    <row r="35" spans="1:10" x14ac:dyDescent="0.2">
      <c r="A35" s="253">
        <v>18</v>
      </c>
      <c r="B35" s="212"/>
      <c r="C35" s="213"/>
      <c r="D35" s="213"/>
      <c r="E35" s="214"/>
      <c r="F35" s="214"/>
      <c r="G35" s="214"/>
      <c r="H35" s="214"/>
      <c r="I35" s="214"/>
      <c r="J35" s="215"/>
    </row>
    <row r="36" spans="1:10" x14ac:dyDescent="0.2">
      <c r="A36" s="253">
        <v>19</v>
      </c>
      <c r="B36" s="212"/>
      <c r="C36" s="213"/>
      <c r="D36" s="213"/>
      <c r="E36" s="214"/>
      <c r="F36" s="214"/>
      <c r="G36" s="214"/>
      <c r="H36" s="214"/>
      <c r="I36" s="214"/>
      <c r="J36" s="215"/>
    </row>
    <row r="37" spans="1:10" x14ac:dyDescent="0.2">
      <c r="A37" s="253">
        <v>20</v>
      </c>
      <c r="B37" s="212"/>
      <c r="C37" s="213"/>
      <c r="D37" s="213"/>
      <c r="E37" s="214"/>
      <c r="F37" s="214"/>
      <c r="G37" s="214"/>
      <c r="H37" s="214"/>
      <c r="I37" s="214"/>
      <c r="J37" s="215"/>
    </row>
    <row r="38" spans="1:10" x14ac:dyDescent="0.2">
      <c r="A38" s="253">
        <v>21</v>
      </c>
      <c r="B38" s="212"/>
      <c r="C38" s="213"/>
      <c r="D38" s="213"/>
      <c r="E38" s="214"/>
      <c r="F38" s="214"/>
      <c r="G38" s="214"/>
      <c r="H38" s="214"/>
      <c r="I38" s="214"/>
      <c r="J38" s="215"/>
    </row>
    <row r="39" spans="1:10" x14ac:dyDescent="0.2">
      <c r="A39" s="253">
        <v>22</v>
      </c>
      <c r="B39" s="212"/>
      <c r="C39" s="213"/>
      <c r="D39" s="213"/>
      <c r="E39" s="214"/>
      <c r="F39" s="214"/>
      <c r="G39" s="214"/>
      <c r="H39" s="214"/>
      <c r="I39" s="214"/>
      <c r="J39" s="215"/>
    </row>
    <row r="40" spans="1:10" x14ac:dyDescent="0.2">
      <c r="A40" s="253">
        <v>23</v>
      </c>
      <c r="B40" s="212"/>
      <c r="C40" s="213"/>
      <c r="D40" s="213"/>
      <c r="E40" s="214"/>
      <c r="F40" s="214"/>
      <c r="G40" s="214"/>
      <c r="H40" s="214"/>
      <c r="I40" s="214"/>
      <c r="J40" s="215"/>
    </row>
    <row r="41" spans="1:10" x14ac:dyDescent="0.2">
      <c r="A41" s="253">
        <v>24</v>
      </c>
      <c r="B41" s="212"/>
      <c r="C41" s="213"/>
      <c r="D41" s="213"/>
      <c r="E41" s="214"/>
      <c r="F41" s="214"/>
      <c r="G41" s="214"/>
      <c r="H41" s="214"/>
      <c r="I41" s="214"/>
      <c r="J41" s="215"/>
    </row>
    <row r="42" spans="1:10" x14ac:dyDescent="0.2">
      <c r="A42" s="253">
        <v>25</v>
      </c>
      <c r="B42" s="212"/>
      <c r="C42" s="213"/>
      <c r="D42" s="213"/>
      <c r="E42" s="214"/>
      <c r="F42" s="214"/>
      <c r="G42" s="214"/>
      <c r="H42" s="214"/>
      <c r="I42" s="214"/>
      <c r="J42" s="215"/>
    </row>
    <row r="43" spans="1:10" x14ac:dyDescent="0.2">
      <c r="A43" s="253">
        <v>26</v>
      </c>
      <c r="B43" s="212"/>
      <c r="C43" s="213"/>
      <c r="D43" s="213"/>
      <c r="E43" s="214"/>
      <c r="F43" s="214"/>
      <c r="G43" s="214"/>
      <c r="H43" s="214"/>
      <c r="I43" s="214"/>
      <c r="J43" s="215"/>
    </row>
    <row r="44" spans="1:10" x14ac:dyDescent="0.2">
      <c r="A44" s="253">
        <v>27</v>
      </c>
      <c r="B44" s="212"/>
      <c r="C44" s="213"/>
      <c r="D44" s="213"/>
      <c r="E44" s="214"/>
      <c r="F44" s="214"/>
      <c r="G44" s="214"/>
      <c r="H44" s="214"/>
      <c r="I44" s="214"/>
      <c r="J44" s="215"/>
    </row>
    <row r="45" spans="1:10" x14ac:dyDescent="0.2">
      <c r="A45" s="253">
        <v>28</v>
      </c>
      <c r="B45" s="212"/>
      <c r="C45" s="213"/>
      <c r="D45" s="213"/>
      <c r="E45" s="214"/>
      <c r="F45" s="214"/>
      <c r="G45" s="214"/>
      <c r="H45" s="214"/>
      <c r="I45" s="214"/>
      <c r="J45" s="215"/>
    </row>
    <row r="46" spans="1:10" x14ac:dyDescent="0.2">
      <c r="A46" s="253">
        <v>29</v>
      </c>
      <c r="B46" s="212"/>
      <c r="C46" s="213"/>
      <c r="D46" s="213"/>
      <c r="E46" s="214"/>
      <c r="F46" s="214"/>
      <c r="G46" s="214"/>
      <c r="H46" s="214"/>
      <c r="I46" s="214"/>
      <c r="J46" s="215"/>
    </row>
    <row r="47" spans="1:10" x14ac:dyDescent="0.2">
      <c r="A47" s="253">
        <v>30</v>
      </c>
      <c r="B47" s="212"/>
      <c r="C47" s="213"/>
      <c r="D47" s="213"/>
      <c r="E47" s="214"/>
      <c r="F47" s="214"/>
      <c r="G47" s="214"/>
      <c r="H47" s="214"/>
      <c r="I47" s="214"/>
      <c r="J47" s="215"/>
    </row>
    <row r="48" spans="1:10" x14ac:dyDescent="0.2">
      <c r="A48" s="253">
        <v>31</v>
      </c>
      <c r="B48" s="212"/>
      <c r="C48" s="213"/>
      <c r="D48" s="213"/>
      <c r="E48" s="214"/>
      <c r="F48" s="214"/>
      <c r="G48" s="214"/>
      <c r="H48" s="214"/>
      <c r="I48" s="214"/>
      <c r="J48" s="215"/>
    </row>
    <row r="49" spans="1:10" x14ac:dyDescent="0.2">
      <c r="A49" s="253">
        <v>32</v>
      </c>
      <c r="B49" s="212"/>
      <c r="C49" s="213"/>
      <c r="D49" s="213"/>
      <c r="E49" s="214"/>
      <c r="F49" s="214"/>
      <c r="G49" s="214"/>
      <c r="H49" s="214"/>
      <c r="I49" s="214"/>
      <c r="J49" s="215"/>
    </row>
    <row r="50" spans="1:10" x14ac:dyDescent="0.2">
      <c r="A50" s="253">
        <v>33</v>
      </c>
      <c r="B50" s="212"/>
      <c r="C50" s="213"/>
      <c r="D50" s="213"/>
      <c r="E50" s="214"/>
      <c r="F50" s="214"/>
      <c r="G50" s="214"/>
      <c r="H50" s="214"/>
      <c r="I50" s="214"/>
      <c r="J50" s="215"/>
    </row>
    <row r="51" spans="1:10" x14ac:dyDescent="0.2">
      <c r="A51" s="253">
        <v>34</v>
      </c>
      <c r="B51" s="212"/>
      <c r="C51" s="213"/>
      <c r="D51" s="213"/>
      <c r="E51" s="214"/>
      <c r="F51" s="214"/>
      <c r="G51" s="214"/>
      <c r="H51" s="214"/>
      <c r="I51" s="214"/>
      <c r="J51" s="215"/>
    </row>
    <row r="52" spans="1:10" x14ac:dyDescent="0.2">
      <c r="A52" s="253">
        <v>35</v>
      </c>
      <c r="B52" s="212"/>
      <c r="C52" s="213"/>
      <c r="D52" s="213"/>
      <c r="E52" s="214"/>
      <c r="F52" s="214"/>
      <c r="G52" s="214"/>
      <c r="H52" s="214"/>
      <c r="I52" s="214"/>
      <c r="J52" s="215"/>
    </row>
    <row r="53" spans="1:10" x14ac:dyDescent="0.2">
      <c r="A53" s="253">
        <v>36</v>
      </c>
      <c r="B53" s="212"/>
      <c r="C53" s="213"/>
      <c r="D53" s="213"/>
      <c r="E53" s="214"/>
      <c r="F53" s="214"/>
      <c r="G53" s="214"/>
      <c r="H53" s="214"/>
      <c r="I53" s="214"/>
      <c r="J53" s="215"/>
    </row>
    <row r="54" spans="1:10" x14ac:dyDescent="0.2">
      <c r="A54" s="253">
        <v>37</v>
      </c>
      <c r="B54" s="212"/>
      <c r="C54" s="213"/>
      <c r="D54" s="213"/>
      <c r="E54" s="214"/>
      <c r="F54" s="214"/>
      <c r="G54" s="214"/>
      <c r="H54" s="214"/>
      <c r="I54" s="214"/>
      <c r="J54" s="215"/>
    </row>
    <row r="55" spans="1:10" x14ac:dyDescent="0.2">
      <c r="A55" s="253">
        <v>38</v>
      </c>
      <c r="B55" s="212"/>
      <c r="C55" s="213"/>
      <c r="D55" s="213"/>
      <c r="E55" s="214"/>
      <c r="F55" s="214"/>
      <c r="G55" s="214"/>
      <c r="H55" s="214"/>
      <c r="I55" s="214"/>
      <c r="J55" s="215"/>
    </row>
    <row r="56" spans="1:10" x14ac:dyDescent="0.2">
      <c r="A56" s="253">
        <v>39</v>
      </c>
      <c r="B56" s="212"/>
      <c r="C56" s="213"/>
      <c r="D56" s="213"/>
      <c r="E56" s="214"/>
      <c r="F56" s="214"/>
      <c r="G56" s="214"/>
      <c r="H56" s="214"/>
      <c r="I56" s="214"/>
      <c r="J56" s="215"/>
    </row>
    <row r="57" spans="1:10" x14ac:dyDescent="0.2">
      <c r="A57" s="253">
        <v>40</v>
      </c>
      <c r="B57" s="212"/>
      <c r="C57" s="213"/>
      <c r="D57" s="213"/>
      <c r="E57" s="214"/>
      <c r="F57" s="214"/>
      <c r="G57" s="214"/>
      <c r="H57" s="214"/>
      <c r="I57" s="214"/>
      <c r="J57" s="215"/>
    </row>
    <row r="58" spans="1:10" x14ac:dyDescent="0.2">
      <c r="A58" s="253">
        <v>41</v>
      </c>
      <c r="B58" s="212"/>
      <c r="C58" s="213"/>
      <c r="D58" s="213"/>
      <c r="E58" s="214"/>
      <c r="F58" s="214"/>
      <c r="G58" s="214"/>
      <c r="H58" s="214"/>
      <c r="I58" s="214"/>
      <c r="J58" s="215"/>
    </row>
    <row r="59" spans="1:10" x14ac:dyDescent="0.2">
      <c r="A59" s="253">
        <v>42</v>
      </c>
      <c r="B59" s="212"/>
      <c r="C59" s="213"/>
      <c r="D59" s="213"/>
      <c r="E59" s="214"/>
      <c r="F59" s="214"/>
      <c r="G59" s="214"/>
      <c r="H59" s="214"/>
      <c r="I59" s="214"/>
      <c r="J59" s="215"/>
    </row>
    <row r="60" spans="1:10" x14ac:dyDescent="0.2">
      <c r="A60" s="253">
        <v>43</v>
      </c>
      <c r="B60" s="212"/>
      <c r="C60" s="213"/>
      <c r="D60" s="213"/>
      <c r="E60" s="214"/>
      <c r="F60" s="214"/>
      <c r="G60" s="214"/>
      <c r="H60" s="214"/>
      <c r="I60" s="214"/>
      <c r="J60" s="215"/>
    </row>
    <row r="61" spans="1:10" x14ac:dyDescent="0.2">
      <c r="A61" s="253">
        <v>44</v>
      </c>
      <c r="B61" s="212"/>
      <c r="C61" s="213"/>
      <c r="D61" s="213"/>
      <c r="E61" s="214"/>
      <c r="F61" s="214"/>
      <c r="G61" s="214"/>
      <c r="H61" s="214"/>
      <c r="I61" s="214"/>
      <c r="J61" s="215"/>
    </row>
    <row r="62" spans="1:10" x14ac:dyDescent="0.2">
      <c r="A62" s="253">
        <v>45</v>
      </c>
      <c r="B62" s="212"/>
      <c r="C62" s="213"/>
      <c r="D62" s="213"/>
      <c r="E62" s="214"/>
      <c r="F62" s="214"/>
      <c r="G62" s="214"/>
      <c r="H62" s="214"/>
      <c r="I62" s="214"/>
      <c r="J62" s="215"/>
    </row>
    <row r="63" spans="1:10" x14ac:dyDescent="0.2">
      <c r="A63" s="253">
        <v>46</v>
      </c>
      <c r="B63" s="212"/>
      <c r="C63" s="213"/>
      <c r="D63" s="213"/>
      <c r="E63" s="214"/>
      <c r="F63" s="214"/>
      <c r="G63" s="214"/>
      <c r="H63" s="214"/>
      <c r="I63" s="214"/>
      <c r="J63" s="215"/>
    </row>
    <row r="64" spans="1:10" x14ac:dyDescent="0.2">
      <c r="A64" s="253">
        <v>47</v>
      </c>
      <c r="B64" s="212"/>
      <c r="C64" s="213"/>
      <c r="D64" s="213"/>
      <c r="E64" s="214"/>
      <c r="F64" s="214"/>
      <c r="G64" s="214"/>
      <c r="H64" s="214"/>
      <c r="I64" s="214"/>
      <c r="J64" s="215"/>
    </row>
    <row r="65" spans="1:11" x14ac:dyDescent="0.2">
      <c r="A65" s="253">
        <v>48</v>
      </c>
      <c r="B65" s="212"/>
      <c r="C65" s="213"/>
      <c r="D65" s="213"/>
      <c r="E65" s="214"/>
      <c r="F65" s="214"/>
      <c r="G65" s="214"/>
      <c r="H65" s="214"/>
      <c r="I65" s="214"/>
      <c r="J65" s="215"/>
    </row>
    <row r="66" spans="1:11" x14ac:dyDescent="0.2">
      <c r="A66" s="253">
        <v>49</v>
      </c>
      <c r="B66" s="212"/>
      <c r="C66" s="213"/>
      <c r="D66" s="213"/>
      <c r="E66" s="214"/>
      <c r="F66" s="214"/>
      <c r="G66" s="214"/>
      <c r="H66" s="214"/>
      <c r="I66" s="214"/>
      <c r="J66" s="215"/>
      <c r="K66" s="217"/>
    </row>
    <row r="67" spans="1:11" x14ac:dyDescent="0.2">
      <c r="A67" s="253">
        <v>50</v>
      </c>
      <c r="B67" s="212"/>
      <c r="C67" s="213"/>
      <c r="D67" s="213"/>
      <c r="E67" s="214"/>
      <c r="F67" s="214"/>
      <c r="G67" s="214"/>
      <c r="H67" s="214"/>
      <c r="I67" s="214"/>
      <c r="J67" s="215"/>
    </row>
    <row r="68" spans="1:11" ht="12" thickBot="1" x14ac:dyDescent="0.25">
      <c r="A68" s="256"/>
      <c r="B68" s="249" t="str">
        <f>IF(L!$B$592=2,L!B607,L!C607)</f>
        <v>Итого:</v>
      </c>
      <c r="C68" s="250" t="s">
        <v>673</v>
      </c>
      <c r="D68" s="250" t="s">
        <v>673</v>
      </c>
      <c r="E68" s="251">
        <f>SUM(E18:E67)</f>
        <v>0</v>
      </c>
      <c r="F68" s="251">
        <f>SUM(F18:F67)</f>
        <v>0</v>
      </c>
      <c r="G68" s="250" t="s">
        <v>673</v>
      </c>
      <c r="H68" s="251">
        <f>SUM(H18:H67)</f>
        <v>0</v>
      </c>
      <c r="I68" s="250" t="s">
        <v>673</v>
      </c>
      <c r="J68" s="252">
        <f>SUM(J18:J67)</f>
        <v>0</v>
      </c>
    </row>
  </sheetData>
  <sheetProtection password="8FDE" sheet="1" formatCells="0" formatColumns="0" formatRows="0"/>
  <phoneticPr fontId="9" type="noConversion"/>
  <dataValidations disablePrompts="1" count="1">
    <dataValidation allowBlank="1" showInputMessage="1" showErrorMessage="1" prompt="Вы можете добавить строки в этой таблице, если не хватает места, чтобы указать полную информацию!!!" sqref="B18:B19"/>
  </dataValidations>
  <pageMargins left="0.22" right="0.2" top="0.28999999999999998" bottom="0.41" header="0.25" footer="0.36"/>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4" r:id="rId4" name="Drop Down 4">
              <controlPr defaultSize="0" print="0" autoLine="0" autoPict="0">
                <anchor moveWithCells="1">
                  <from>
                    <xdr:col>2</xdr:col>
                    <xdr:colOff>161925</xdr:colOff>
                    <xdr:row>0</xdr:row>
                    <xdr:rowOff>114300</xdr:rowOff>
                  </from>
                  <to>
                    <xdr:col>2</xdr:col>
                    <xdr:colOff>895350</xdr:colOff>
                    <xdr:row>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T54"/>
  <sheetViews>
    <sheetView workbookViewId="0">
      <selection activeCell="Y11" sqref="Y11"/>
    </sheetView>
  </sheetViews>
  <sheetFormatPr defaultRowHeight="11.25" x14ac:dyDescent="0.2"/>
  <cols>
    <col min="1" max="1" width="9.140625" style="283"/>
    <col min="2" max="2" width="9.140625" style="280"/>
    <col min="3" max="3" width="11.140625" style="280" bestFit="1" customWidth="1"/>
    <col min="4" max="5" width="10.42578125" style="280" bestFit="1" customWidth="1"/>
    <col min="6" max="6" width="12.42578125" style="280" customWidth="1"/>
    <col min="7" max="8" width="11.140625" style="280" bestFit="1" customWidth="1"/>
    <col min="9" max="9" width="7.140625" style="280" hidden="1" customWidth="1"/>
    <col min="10" max="11" width="8.7109375" style="280" hidden="1" customWidth="1"/>
    <col min="12" max="12" width="1.85546875" style="280" hidden="1" customWidth="1"/>
    <col min="13" max="14" width="8.7109375" style="280" hidden="1" customWidth="1"/>
    <col min="15" max="15" width="1.85546875" style="280" hidden="1" customWidth="1"/>
    <col min="16" max="16" width="5.7109375" style="280" hidden="1" customWidth="1"/>
    <col min="17" max="17" width="8.7109375" style="280" hidden="1" customWidth="1"/>
    <col min="18" max="18" width="52" style="280" hidden="1" customWidth="1"/>
    <col min="19" max="19" width="4.5703125" style="280" hidden="1" customWidth="1"/>
    <col min="20" max="20" width="7.5703125" style="280" hidden="1" customWidth="1"/>
    <col min="21" max="16384" width="9.140625" style="280"/>
  </cols>
  <sheetData>
    <row r="1" spans="1:20" ht="15" x14ac:dyDescent="0.2">
      <c r="A1" s="295"/>
      <c r="B1" s="296"/>
      <c r="C1" s="295"/>
      <c r="D1" s="295"/>
      <c r="E1" s="295"/>
      <c r="F1" s="295"/>
      <c r="G1" s="295"/>
      <c r="H1" s="295"/>
      <c r="P1" s="313" t="s">
        <v>813</v>
      </c>
      <c r="Q1" s="313" t="s">
        <v>814</v>
      </c>
      <c r="R1" s="313" t="s">
        <v>815</v>
      </c>
      <c r="S1" s="313" t="s">
        <v>816</v>
      </c>
      <c r="T1" s="313" t="s">
        <v>817</v>
      </c>
    </row>
    <row r="2" spans="1:20" ht="15" x14ac:dyDescent="0.25">
      <c r="A2" s="989" t="s">
        <v>1294</v>
      </c>
      <c r="B2" s="989"/>
      <c r="C2" s="989"/>
      <c r="D2" s="989"/>
      <c r="E2" s="989"/>
      <c r="F2" s="989"/>
      <c r="G2" s="989"/>
      <c r="H2" s="989"/>
      <c r="P2" s="314">
        <v>1</v>
      </c>
      <c r="Q2" s="314">
        <v>1</v>
      </c>
      <c r="R2" s="315" t="s">
        <v>818</v>
      </c>
      <c r="S2" t="str">
        <f>P2&amp;Q2</f>
        <v>11</v>
      </c>
      <c r="T2">
        <f>COUNTIF($S$2:$S$11,S2)</f>
        <v>1</v>
      </c>
    </row>
    <row r="3" spans="1:20" ht="12.75" x14ac:dyDescent="0.2">
      <c r="A3" s="990" t="s">
        <v>757</v>
      </c>
      <c r="B3" s="990"/>
      <c r="C3" s="990"/>
      <c r="D3" s="990"/>
      <c r="E3" s="992">
        <f>Заявка!B15</f>
        <v>0</v>
      </c>
      <c r="F3" s="992"/>
      <c r="G3" s="992"/>
      <c r="H3" s="992"/>
      <c r="P3" s="314">
        <v>7</v>
      </c>
      <c r="Q3" s="314">
        <v>1</v>
      </c>
      <c r="R3" s="316" t="s">
        <v>819</v>
      </c>
      <c r="S3" t="str">
        <f t="shared" ref="S3:S11" si="0">P3&amp;Q3</f>
        <v>71</v>
      </c>
      <c r="T3">
        <f t="shared" ref="T3:T11" si="1">COUNTIF($S$2:$S$11,S3)</f>
        <v>1</v>
      </c>
    </row>
    <row r="4" spans="1:20" ht="12.75" x14ac:dyDescent="0.2">
      <c r="A4" s="990" t="s">
        <v>809</v>
      </c>
      <c r="B4" s="990"/>
      <c r="C4" s="990"/>
      <c r="D4" s="990"/>
      <c r="E4" s="993">
        <f>Заявка!B116</f>
        <v>0</v>
      </c>
      <c r="F4" s="993"/>
      <c r="G4" s="993"/>
      <c r="H4" s="993"/>
      <c r="P4" s="314">
        <v>23</v>
      </c>
      <c r="Q4" s="314">
        <v>2</v>
      </c>
      <c r="R4" s="316" t="s">
        <v>820</v>
      </c>
      <c r="S4" t="str">
        <f t="shared" si="0"/>
        <v>232</v>
      </c>
      <c r="T4">
        <f t="shared" si="1"/>
        <v>1</v>
      </c>
    </row>
    <row r="5" spans="1:20" ht="12.75" x14ac:dyDescent="0.2">
      <c r="A5" s="990" t="s">
        <v>810</v>
      </c>
      <c r="B5" s="990"/>
      <c r="C5" s="990"/>
      <c r="D5" s="990"/>
      <c r="E5" s="993">
        <f>E4*1%</f>
        <v>0</v>
      </c>
      <c r="F5" s="993"/>
      <c r="G5" s="993"/>
      <c r="H5" s="993"/>
      <c r="P5" s="314">
        <v>8</v>
      </c>
      <c r="Q5" s="314">
        <v>3</v>
      </c>
      <c r="R5" s="316" t="s">
        <v>820</v>
      </c>
      <c r="S5" t="str">
        <f t="shared" si="0"/>
        <v>83</v>
      </c>
      <c r="T5">
        <f t="shared" si="1"/>
        <v>1</v>
      </c>
    </row>
    <row r="6" spans="1:20" ht="12.75" x14ac:dyDescent="0.2">
      <c r="A6" s="990" t="s">
        <v>811</v>
      </c>
      <c r="B6" s="990"/>
      <c r="C6" s="990"/>
      <c r="D6" s="990"/>
      <c r="E6" s="998">
        <v>0.25</v>
      </c>
      <c r="F6" s="998"/>
      <c r="G6" s="998"/>
      <c r="H6" s="998"/>
      <c r="P6" s="314">
        <v>21</v>
      </c>
      <c r="Q6" s="314">
        <v>3</v>
      </c>
      <c r="R6" s="316" t="s">
        <v>821</v>
      </c>
      <c r="S6" t="str">
        <f t="shared" si="0"/>
        <v>213</v>
      </c>
      <c r="T6">
        <f t="shared" si="1"/>
        <v>1</v>
      </c>
    </row>
    <row r="7" spans="1:20" ht="12.75" x14ac:dyDescent="0.2">
      <c r="A7" s="990" t="s">
        <v>758</v>
      </c>
      <c r="B7" s="990"/>
      <c r="C7" s="990"/>
      <c r="D7" s="990"/>
      <c r="E7" s="999" t="e">
        <f>XIRR(G14:G52,B14:B52)</f>
        <v>#NUM!</v>
      </c>
      <c r="F7" s="999"/>
      <c r="G7" s="999"/>
      <c r="H7" s="999"/>
      <c r="P7" s="314">
        <v>1</v>
      </c>
      <c r="Q7" s="314">
        <v>5</v>
      </c>
      <c r="R7" s="316" t="s">
        <v>822</v>
      </c>
      <c r="S7" t="str">
        <f t="shared" si="0"/>
        <v>15</v>
      </c>
      <c r="T7">
        <f t="shared" si="1"/>
        <v>1</v>
      </c>
    </row>
    <row r="8" spans="1:20" ht="12.75" x14ac:dyDescent="0.2">
      <c r="A8" s="990" t="s">
        <v>759</v>
      </c>
      <c r="B8" s="990"/>
      <c r="C8" s="990"/>
      <c r="D8" s="990"/>
      <c r="E8" s="991">
        <f>DAYS360(E9,E10)/30</f>
        <v>0</v>
      </c>
      <c r="F8" s="991"/>
      <c r="G8" s="991"/>
      <c r="H8" s="991"/>
      <c r="P8" s="314">
        <v>5</v>
      </c>
      <c r="Q8" s="314">
        <v>5</v>
      </c>
      <c r="R8" s="316" t="s">
        <v>823</v>
      </c>
      <c r="S8" t="str">
        <f t="shared" si="0"/>
        <v>55</v>
      </c>
      <c r="T8">
        <f t="shared" si="1"/>
        <v>1</v>
      </c>
    </row>
    <row r="9" spans="1:20" ht="12.75" x14ac:dyDescent="0.2">
      <c r="A9" s="990" t="s">
        <v>760</v>
      </c>
      <c r="B9" s="990"/>
      <c r="C9" s="990"/>
      <c r="D9" s="990"/>
      <c r="E9" s="994"/>
      <c r="F9" s="994"/>
      <c r="G9" s="994"/>
      <c r="H9" s="994"/>
      <c r="P9" s="314">
        <v>9</v>
      </c>
      <c r="Q9" s="314">
        <v>5</v>
      </c>
      <c r="R9" s="316" t="s">
        <v>824</v>
      </c>
      <c r="S9" t="str">
        <f t="shared" si="0"/>
        <v>95</v>
      </c>
      <c r="T9">
        <f t="shared" si="1"/>
        <v>1</v>
      </c>
    </row>
    <row r="10" spans="1:20" ht="12.75" x14ac:dyDescent="0.2">
      <c r="A10" s="990" t="s">
        <v>36</v>
      </c>
      <c r="B10" s="990"/>
      <c r="C10" s="990"/>
      <c r="D10" s="990"/>
      <c r="E10" s="994"/>
      <c r="F10" s="994"/>
      <c r="G10" s="994"/>
      <c r="H10" s="994"/>
      <c r="P10" s="314">
        <v>31</v>
      </c>
      <c r="Q10" s="314">
        <v>8</v>
      </c>
      <c r="R10" s="316" t="s">
        <v>825</v>
      </c>
      <c r="S10" t="str">
        <f t="shared" si="0"/>
        <v>318</v>
      </c>
      <c r="T10">
        <f t="shared" si="1"/>
        <v>1</v>
      </c>
    </row>
    <row r="11" spans="1:20" ht="12.75" x14ac:dyDescent="0.2">
      <c r="A11" s="990" t="s">
        <v>761</v>
      </c>
      <c r="B11" s="990"/>
      <c r="C11" s="990"/>
      <c r="D11" s="990"/>
      <c r="E11" s="994"/>
      <c r="F11" s="994"/>
      <c r="G11" s="994"/>
      <c r="H11" s="994"/>
      <c r="P11" s="314">
        <v>7</v>
      </c>
      <c r="Q11" s="314">
        <v>11</v>
      </c>
      <c r="R11" s="316" t="s">
        <v>826</v>
      </c>
      <c r="S11" t="str">
        <f t="shared" si="0"/>
        <v>711</v>
      </c>
      <c r="T11">
        <f t="shared" si="1"/>
        <v>1</v>
      </c>
    </row>
    <row r="12" spans="1:20" x14ac:dyDescent="0.2">
      <c r="A12" s="23"/>
      <c r="B12" s="23"/>
      <c r="C12" s="22"/>
      <c r="D12" s="22"/>
      <c r="E12" s="297"/>
      <c r="F12" s="297"/>
      <c r="G12" s="297"/>
      <c r="H12" s="295">
        <v>10</v>
      </c>
    </row>
    <row r="13" spans="1:20" ht="33.75" x14ac:dyDescent="0.2">
      <c r="A13" s="24" t="s">
        <v>17</v>
      </c>
      <c r="B13" s="25" t="s">
        <v>467</v>
      </c>
      <c r="C13" s="25" t="s">
        <v>762</v>
      </c>
      <c r="D13" s="298" t="s">
        <v>763</v>
      </c>
      <c r="E13" s="25" t="s">
        <v>764</v>
      </c>
      <c r="F13" s="26" t="s">
        <v>765</v>
      </c>
      <c r="G13" s="26" t="s">
        <v>766</v>
      </c>
      <c r="H13" s="26" t="s">
        <v>767</v>
      </c>
    </row>
    <row r="14" spans="1:20" x14ac:dyDescent="0.2">
      <c r="A14" s="281"/>
      <c r="B14" s="299">
        <f>E9</f>
        <v>0</v>
      </c>
      <c r="C14" s="300">
        <f>E4</f>
        <v>0</v>
      </c>
      <c r="D14" s="301"/>
      <c r="E14" s="301"/>
      <c r="F14" s="300"/>
      <c r="G14" s="300">
        <f>-C14+E5+E14+F14</f>
        <v>0</v>
      </c>
      <c r="H14" s="302">
        <f>C14</f>
        <v>0</v>
      </c>
    </row>
    <row r="15" spans="1:20" x14ac:dyDescent="0.2">
      <c r="A15" s="282">
        <v>1</v>
      </c>
      <c r="B15" s="299">
        <f>IF(WEEKDAY(E11,2)=6,E11+2,IF(WEEKDAY(E11,2)=7,E11+1,E11))</f>
        <v>2</v>
      </c>
      <c r="C15" s="300"/>
      <c r="D15" s="300">
        <f>ROUND(H14*$E$6/360*DAYS360(B14,B15),0)</f>
        <v>0</v>
      </c>
      <c r="E15" s="300">
        <f t="shared" ref="E15:E52" si="2">D15</f>
        <v>0</v>
      </c>
      <c r="F15" s="303"/>
      <c r="G15" s="300">
        <f>-C15+E15+F15</f>
        <v>0</v>
      </c>
      <c r="H15" s="302">
        <f t="shared" ref="H15:H52" si="3">H14+C15-F15</f>
        <v>0</v>
      </c>
      <c r="I15" s="280" t="str">
        <f>IF(WEEKDAY(B15,2)=6,"Суббота",IF(WEEKDAY(B15,2)=7,"Воскресенье",""))</f>
        <v/>
      </c>
    </row>
    <row r="16" spans="1:20" x14ac:dyDescent="0.2">
      <c r="A16" s="282">
        <f>IF(B16&gt;0,A15+1,0)</f>
        <v>0</v>
      </c>
      <c r="B16" s="299">
        <f t="shared" ref="B16:B52" si="4">IF($E$10&lt;=Q16,$E$10,Q16)</f>
        <v>0</v>
      </c>
      <c r="C16" s="300"/>
      <c r="D16" s="300">
        <f t="shared" ref="D16:D52" si="5">ROUND(H15*$E$6/360*DAYS360(B15,B16),0)</f>
        <v>0</v>
      </c>
      <c r="E16" s="300">
        <f t="shared" si="2"/>
        <v>0</v>
      </c>
      <c r="F16" s="303"/>
      <c r="G16" s="300">
        <f t="shared" ref="G16:G52" si="6">-C16+E16+F16</f>
        <v>0</v>
      </c>
      <c r="H16" s="302">
        <f t="shared" si="3"/>
        <v>0</v>
      </c>
      <c r="I16" s="280" t="str">
        <f t="shared" ref="I16:I52" si="7">IF(WEEKDAY(B16,2)=6,"Суббота",IF(WEEKDAY(B16,2)=7,"Воскресенье",""))</f>
        <v>Суббота</v>
      </c>
      <c r="J16" s="312">
        <f>DATE(YEAR(B15),MONTH(B15)+1,$H$12)</f>
        <v>41</v>
      </c>
      <c r="K16" s="312">
        <f>IF(WEEKDAY(J16,2)=6,J16+2,IF(WEEKDAY(J16,2)=7,J16+1,J16))</f>
        <v>41</v>
      </c>
      <c r="L16" s="280">
        <f>SUMIF($S$2:$S$19,DAY(K16)&amp;MONTH(K16),$T$2:$T$19)</f>
        <v>0</v>
      </c>
      <c r="M16" s="312">
        <f>K16+L16</f>
        <v>41</v>
      </c>
      <c r="N16" s="312">
        <f>IF(WEEKDAY(M16,2)=6,M16+2,IF(WEEKDAY(M16,2)=7,M16+1,M16))</f>
        <v>41</v>
      </c>
      <c r="O16" s="280">
        <f>WEEKDAY(N16,2)</f>
        <v>5</v>
      </c>
      <c r="P16" s="280">
        <f t="shared" ref="P16:P52" si="8">SUMIF($S$2:$S$11,DAY(N16)&amp;MONTH(N16),$T$2:$T$11)</f>
        <v>0</v>
      </c>
      <c r="Q16" s="312">
        <f>N16+P16</f>
        <v>41</v>
      </c>
    </row>
    <row r="17" spans="1:17" x14ac:dyDescent="0.2">
      <c r="A17" s="282">
        <f t="shared" ref="A17:A52" si="9">IF(B17&gt;0,A16+1,0)</f>
        <v>0</v>
      </c>
      <c r="B17" s="299">
        <f t="shared" si="4"/>
        <v>0</v>
      </c>
      <c r="C17" s="300"/>
      <c r="D17" s="300">
        <f t="shared" si="5"/>
        <v>0</v>
      </c>
      <c r="E17" s="300">
        <f t="shared" si="2"/>
        <v>0</v>
      </c>
      <c r="F17" s="303"/>
      <c r="G17" s="300">
        <f t="shared" si="6"/>
        <v>0</v>
      </c>
      <c r="H17" s="302">
        <f t="shared" si="3"/>
        <v>0</v>
      </c>
      <c r="I17" s="280" t="str">
        <f t="shared" si="7"/>
        <v>Суббота</v>
      </c>
      <c r="J17" s="312">
        <f>DATE(YEAR(J16),MONTH(J16)+1,$H$12)</f>
        <v>70</v>
      </c>
      <c r="K17" s="312">
        <f t="shared" ref="K17:K52" si="10">IF(WEEKDAY(J17,2)=6,J17+2,IF(WEEKDAY(J17,2)=7,J17+1,J17))</f>
        <v>72</v>
      </c>
      <c r="L17" s="280">
        <f t="shared" ref="L17:L52" si="11">SUMIF($S$2:$S$19,DAY(K17)&amp;MONTH(K17),$T$2:$T$19)</f>
        <v>0</v>
      </c>
      <c r="M17" s="312">
        <f t="shared" ref="M17:M52" si="12">K17+L17</f>
        <v>72</v>
      </c>
      <c r="N17" s="312">
        <f t="shared" ref="N17:N52" si="13">IF(WEEKDAY(M17,2)=6,M17+2,IF(WEEKDAY(M17,2)=7,M17+1,M17))</f>
        <v>72</v>
      </c>
      <c r="O17" s="280">
        <f t="shared" ref="O17:O52" si="14">WEEKDAY(N17,2)</f>
        <v>1</v>
      </c>
      <c r="P17" s="280">
        <f t="shared" si="8"/>
        <v>0</v>
      </c>
      <c r="Q17" s="312">
        <f t="shared" ref="Q17:Q52" si="15">N17+P17</f>
        <v>72</v>
      </c>
    </row>
    <row r="18" spans="1:17" x14ac:dyDescent="0.2">
      <c r="A18" s="282">
        <f t="shared" si="9"/>
        <v>0</v>
      </c>
      <c r="B18" s="299">
        <f t="shared" si="4"/>
        <v>0</v>
      </c>
      <c r="C18" s="300"/>
      <c r="D18" s="300">
        <f t="shared" si="5"/>
        <v>0</v>
      </c>
      <c r="E18" s="300">
        <f t="shared" si="2"/>
        <v>0</v>
      </c>
      <c r="F18" s="303"/>
      <c r="G18" s="300">
        <f t="shared" si="6"/>
        <v>0</v>
      </c>
      <c r="H18" s="302">
        <f t="shared" si="3"/>
        <v>0</v>
      </c>
      <c r="I18" s="280" t="str">
        <f t="shared" si="7"/>
        <v>Суббота</v>
      </c>
      <c r="J18" s="312">
        <f t="shared" ref="J18:J52" si="16">DATE(YEAR(J17),MONTH(J17)+1,$H$12)</f>
        <v>101</v>
      </c>
      <c r="K18" s="312">
        <f t="shared" si="10"/>
        <v>101</v>
      </c>
      <c r="L18" s="280">
        <f t="shared" si="11"/>
        <v>0</v>
      </c>
      <c r="M18" s="312">
        <f t="shared" si="12"/>
        <v>101</v>
      </c>
      <c r="N18" s="312">
        <f t="shared" si="13"/>
        <v>101</v>
      </c>
      <c r="O18" s="280">
        <f t="shared" si="14"/>
        <v>2</v>
      </c>
      <c r="P18" s="280">
        <f t="shared" si="8"/>
        <v>0</v>
      </c>
      <c r="Q18" s="312">
        <f t="shared" si="15"/>
        <v>101</v>
      </c>
    </row>
    <row r="19" spans="1:17" x14ac:dyDescent="0.2">
      <c r="A19" s="282">
        <f t="shared" si="9"/>
        <v>0</v>
      </c>
      <c r="B19" s="299">
        <f t="shared" si="4"/>
        <v>0</v>
      </c>
      <c r="C19" s="300"/>
      <c r="D19" s="300">
        <f t="shared" si="5"/>
        <v>0</v>
      </c>
      <c r="E19" s="300">
        <f t="shared" si="2"/>
        <v>0</v>
      </c>
      <c r="F19" s="303"/>
      <c r="G19" s="300">
        <f t="shared" si="6"/>
        <v>0</v>
      </c>
      <c r="H19" s="302">
        <f t="shared" si="3"/>
        <v>0</v>
      </c>
      <c r="I19" s="280" t="str">
        <f t="shared" si="7"/>
        <v>Суббота</v>
      </c>
      <c r="J19" s="312">
        <f t="shared" si="16"/>
        <v>131</v>
      </c>
      <c r="K19" s="312">
        <f t="shared" si="10"/>
        <v>131</v>
      </c>
      <c r="L19" s="280">
        <f t="shared" si="11"/>
        <v>0</v>
      </c>
      <c r="M19" s="312">
        <f t="shared" si="12"/>
        <v>131</v>
      </c>
      <c r="N19" s="312">
        <f t="shared" si="13"/>
        <v>131</v>
      </c>
      <c r="O19" s="280">
        <f t="shared" si="14"/>
        <v>4</v>
      </c>
      <c r="P19" s="280">
        <f t="shared" si="8"/>
        <v>0</v>
      </c>
      <c r="Q19" s="312">
        <f t="shared" si="15"/>
        <v>131</v>
      </c>
    </row>
    <row r="20" spans="1:17" x14ac:dyDescent="0.2">
      <c r="A20" s="282">
        <f t="shared" si="9"/>
        <v>0</v>
      </c>
      <c r="B20" s="299">
        <f t="shared" si="4"/>
        <v>0</v>
      </c>
      <c r="C20" s="300"/>
      <c r="D20" s="300">
        <f t="shared" si="5"/>
        <v>0</v>
      </c>
      <c r="E20" s="300">
        <f t="shared" si="2"/>
        <v>0</v>
      </c>
      <c r="F20" s="303"/>
      <c r="G20" s="300">
        <f t="shared" si="6"/>
        <v>0</v>
      </c>
      <c r="H20" s="302">
        <f t="shared" si="3"/>
        <v>0</v>
      </c>
      <c r="I20" s="280" t="str">
        <f t="shared" si="7"/>
        <v>Суббота</v>
      </c>
      <c r="J20" s="312">
        <f t="shared" si="16"/>
        <v>162</v>
      </c>
      <c r="K20" s="312">
        <f t="shared" si="10"/>
        <v>163</v>
      </c>
      <c r="L20" s="280">
        <f t="shared" si="11"/>
        <v>0</v>
      </c>
      <c r="M20" s="312">
        <f t="shared" si="12"/>
        <v>163</v>
      </c>
      <c r="N20" s="312">
        <f t="shared" si="13"/>
        <v>163</v>
      </c>
      <c r="O20" s="280">
        <f t="shared" si="14"/>
        <v>1</v>
      </c>
      <c r="P20" s="280">
        <f t="shared" si="8"/>
        <v>0</v>
      </c>
      <c r="Q20" s="312">
        <f t="shared" si="15"/>
        <v>163</v>
      </c>
    </row>
    <row r="21" spans="1:17" x14ac:dyDescent="0.2">
      <c r="A21" s="282">
        <f t="shared" si="9"/>
        <v>0</v>
      </c>
      <c r="B21" s="299">
        <f t="shared" si="4"/>
        <v>0</v>
      </c>
      <c r="C21" s="300"/>
      <c r="D21" s="300">
        <f t="shared" si="5"/>
        <v>0</v>
      </c>
      <c r="E21" s="300">
        <f t="shared" si="2"/>
        <v>0</v>
      </c>
      <c r="F21" s="303"/>
      <c r="G21" s="300">
        <f t="shared" si="6"/>
        <v>0</v>
      </c>
      <c r="H21" s="302">
        <f t="shared" si="3"/>
        <v>0</v>
      </c>
      <c r="I21" s="280" t="str">
        <f t="shared" si="7"/>
        <v>Суббота</v>
      </c>
      <c r="J21" s="312">
        <f t="shared" si="16"/>
        <v>192</v>
      </c>
      <c r="K21" s="312">
        <f t="shared" si="10"/>
        <v>192</v>
      </c>
      <c r="L21" s="280">
        <f t="shared" si="11"/>
        <v>0</v>
      </c>
      <c r="M21" s="312">
        <f t="shared" si="12"/>
        <v>192</v>
      </c>
      <c r="N21" s="312">
        <f t="shared" si="13"/>
        <v>192</v>
      </c>
      <c r="O21" s="280">
        <f t="shared" si="14"/>
        <v>2</v>
      </c>
      <c r="P21" s="280">
        <f t="shared" si="8"/>
        <v>0</v>
      </c>
      <c r="Q21" s="312">
        <f t="shared" si="15"/>
        <v>192</v>
      </c>
    </row>
    <row r="22" spans="1:17" x14ac:dyDescent="0.2">
      <c r="A22" s="282">
        <f t="shared" si="9"/>
        <v>0</v>
      </c>
      <c r="B22" s="299">
        <f t="shared" si="4"/>
        <v>0</v>
      </c>
      <c r="C22" s="300"/>
      <c r="D22" s="300">
        <f t="shared" si="5"/>
        <v>0</v>
      </c>
      <c r="E22" s="300">
        <f t="shared" si="2"/>
        <v>0</v>
      </c>
      <c r="F22" s="303"/>
      <c r="G22" s="300">
        <f t="shared" si="6"/>
        <v>0</v>
      </c>
      <c r="H22" s="302">
        <f t="shared" si="3"/>
        <v>0</v>
      </c>
      <c r="I22" s="280" t="str">
        <f t="shared" si="7"/>
        <v>Суббота</v>
      </c>
      <c r="J22" s="312">
        <f t="shared" si="16"/>
        <v>223</v>
      </c>
      <c r="K22" s="312">
        <f t="shared" si="10"/>
        <v>223</v>
      </c>
      <c r="L22" s="280">
        <f t="shared" si="11"/>
        <v>0</v>
      </c>
      <c r="M22" s="312">
        <f t="shared" si="12"/>
        <v>223</v>
      </c>
      <c r="N22" s="312">
        <f t="shared" si="13"/>
        <v>223</v>
      </c>
      <c r="O22" s="280">
        <f t="shared" si="14"/>
        <v>5</v>
      </c>
      <c r="P22" s="280">
        <f t="shared" si="8"/>
        <v>0</v>
      </c>
      <c r="Q22" s="312">
        <f t="shared" si="15"/>
        <v>223</v>
      </c>
    </row>
    <row r="23" spans="1:17" x14ac:dyDescent="0.2">
      <c r="A23" s="282">
        <f t="shared" si="9"/>
        <v>0</v>
      </c>
      <c r="B23" s="299">
        <f t="shared" si="4"/>
        <v>0</v>
      </c>
      <c r="C23" s="300"/>
      <c r="D23" s="300">
        <f t="shared" si="5"/>
        <v>0</v>
      </c>
      <c r="E23" s="300">
        <f t="shared" si="2"/>
        <v>0</v>
      </c>
      <c r="F23" s="303"/>
      <c r="G23" s="300">
        <f t="shared" si="6"/>
        <v>0</v>
      </c>
      <c r="H23" s="302">
        <f t="shared" si="3"/>
        <v>0</v>
      </c>
      <c r="I23" s="280" t="str">
        <f t="shared" si="7"/>
        <v>Суббота</v>
      </c>
      <c r="J23" s="312">
        <f t="shared" si="16"/>
        <v>254</v>
      </c>
      <c r="K23" s="312">
        <f t="shared" si="10"/>
        <v>254</v>
      </c>
      <c r="L23" s="280">
        <f t="shared" si="11"/>
        <v>0</v>
      </c>
      <c r="M23" s="312">
        <f t="shared" si="12"/>
        <v>254</v>
      </c>
      <c r="N23" s="312">
        <f t="shared" si="13"/>
        <v>254</v>
      </c>
      <c r="O23" s="280">
        <f t="shared" si="14"/>
        <v>1</v>
      </c>
      <c r="P23" s="280">
        <f t="shared" si="8"/>
        <v>0</v>
      </c>
      <c r="Q23" s="312">
        <f t="shared" si="15"/>
        <v>254</v>
      </c>
    </row>
    <row r="24" spans="1:17" x14ac:dyDescent="0.2">
      <c r="A24" s="282">
        <f t="shared" si="9"/>
        <v>0</v>
      </c>
      <c r="B24" s="299">
        <f t="shared" si="4"/>
        <v>0</v>
      </c>
      <c r="C24" s="300"/>
      <c r="D24" s="300">
        <f t="shared" si="5"/>
        <v>0</v>
      </c>
      <c r="E24" s="300">
        <f t="shared" si="2"/>
        <v>0</v>
      </c>
      <c r="F24" s="303"/>
      <c r="G24" s="300">
        <f t="shared" si="6"/>
        <v>0</v>
      </c>
      <c r="H24" s="302">
        <f t="shared" si="3"/>
        <v>0</v>
      </c>
      <c r="I24" s="280" t="str">
        <f t="shared" si="7"/>
        <v>Суббота</v>
      </c>
      <c r="J24" s="312">
        <f t="shared" si="16"/>
        <v>284</v>
      </c>
      <c r="K24" s="312">
        <f t="shared" si="10"/>
        <v>284</v>
      </c>
      <c r="L24" s="280">
        <f t="shared" si="11"/>
        <v>0</v>
      </c>
      <c r="M24" s="312">
        <f t="shared" si="12"/>
        <v>284</v>
      </c>
      <c r="N24" s="312">
        <f t="shared" si="13"/>
        <v>284</v>
      </c>
      <c r="O24" s="280">
        <f t="shared" si="14"/>
        <v>3</v>
      </c>
      <c r="P24" s="280">
        <f t="shared" si="8"/>
        <v>0</v>
      </c>
      <c r="Q24" s="312">
        <f t="shared" si="15"/>
        <v>284</v>
      </c>
    </row>
    <row r="25" spans="1:17" x14ac:dyDescent="0.2">
      <c r="A25" s="282">
        <f t="shared" si="9"/>
        <v>0</v>
      </c>
      <c r="B25" s="299">
        <f t="shared" si="4"/>
        <v>0</v>
      </c>
      <c r="C25" s="300"/>
      <c r="D25" s="300">
        <f t="shared" si="5"/>
        <v>0</v>
      </c>
      <c r="E25" s="300">
        <f t="shared" si="2"/>
        <v>0</v>
      </c>
      <c r="F25" s="303"/>
      <c r="G25" s="300">
        <f t="shared" si="6"/>
        <v>0</v>
      </c>
      <c r="H25" s="302">
        <f t="shared" si="3"/>
        <v>0</v>
      </c>
      <c r="I25" s="280" t="str">
        <f t="shared" si="7"/>
        <v>Суббота</v>
      </c>
      <c r="J25" s="312">
        <f t="shared" si="16"/>
        <v>315</v>
      </c>
      <c r="K25" s="312">
        <f t="shared" si="10"/>
        <v>317</v>
      </c>
      <c r="L25" s="280">
        <f t="shared" si="11"/>
        <v>0</v>
      </c>
      <c r="M25" s="312">
        <f t="shared" si="12"/>
        <v>317</v>
      </c>
      <c r="N25" s="312">
        <f t="shared" si="13"/>
        <v>317</v>
      </c>
      <c r="O25" s="280">
        <f t="shared" si="14"/>
        <v>1</v>
      </c>
      <c r="P25" s="280">
        <f t="shared" si="8"/>
        <v>0</v>
      </c>
      <c r="Q25" s="312">
        <f t="shared" si="15"/>
        <v>317</v>
      </c>
    </row>
    <row r="26" spans="1:17" x14ac:dyDescent="0.2">
      <c r="A26" s="282">
        <f t="shared" si="9"/>
        <v>0</v>
      </c>
      <c r="B26" s="299">
        <f t="shared" si="4"/>
        <v>0</v>
      </c>
      <c r="C26" s="300"/>
      <c r="D26" s="300">
        <f t="shared" si="5"/>
        <v>0</v>
      </c>
      <c r="E26" s="300">
        <f t="shared" si="2"/>
        <v>0</v>
      </c>
      <c r="F26" s="303"/>
      <c r="G26" s="300">
        <f t="shared" si="6"/>
        <v>0</v>
      </c>
      <c r="H26" s="302">
        <f t="shared" si="3"/>
        <v>0</v>
      </c>
      <c r="I26" s="280" t="str">
        <f t="shared" si="7"/>
        <v>Суббота</v>
      </c>
      <c r="J26" s="312">
        <f t="shared" si="16"/>
        <v>345</v>
      </c>
      <c r="K26" s="312">
        <f t="shared" si="10"/>
        <v>345</v>
      </c>
      <c r="L26" s="280">
        <f t="shared" si="11"/>
        <v>0</v>
      </c>
      <c r="M26" s="312">
        <f t="shared" si="12"/>
        <v>345</v>
      </c>
      <c r="N26" s="312">
        <f t="shared" si="13"/>
        <v>345</v>
      </c>
      <c r="O26" s="280">
        <f t="shared" si="14"/>
        <v>1</v>
      </c>
      <c r="P26" s="280">
        <f t="shared" si="8"/>
        <v>0</v>
      </c>
      <c r="Q26" s="312">
        <f t="shared" si="15"/>
        <v>345</v>
      </c>
    </row>
    <row r="27" spans="1:17" x14ac:dyDescent="0.2">
      <c r="A27" s="282">
        <f t="shared" si="9"/>
        <v>0</v>
      </c>
      <c r="B27" s="299">
        <f t="shared" si="4"/>
        <v>0</v>
      </c>
      <c r="C27" s="300"/>
      <c r="D27" s="300">
        <f t="shared" si="5"/>
        <v>0</v>
      </c>
      <c r="E27" s="300">
        <f t="shared" si="2"/>
        <v>0</v>
      </c>
      <c r="F27" s="303"/>
      <c r="G27" s="300">
        <f t="shared" si="6"/>
        <v>0</v>
      </c>
      <c r="H27" s="302">
        <f t="shared" si="3"/>
        <v>0</v>
      </c>
      <c r="I27" s="280" t="str">
        <f t="shared" si="7"/>
        <v>Суббота</v>
      </c>
      <c r="J27" s="312">
        <f t="shared" si="16"/>
        <v>376</v>
      </c>
      <c r="K27" s="312">
        <f t="shared" si="10"/>
        <v>376</v>
      </c>
      <c r="L27" s="280">
        <f t="shared" si="11"/>
        <v>0</v>
      </c>
      <c r="M27" s="312">
        <f t="shared" si="12"/>
        <v>376</v>
      </c>
      <c r="N27" s="312">
        <f t="shared" si="13"/>
        <v>376</v>
      </c>
      <c r="O27" s="280">
        <f t="shared" si="14"/>
        <v>4</v>
      </c>
      <c r="P27" s="280">
        <f t="shared" si="8"/>
        <v>0</v>
      </c>
      <c r="Q27" s="312">
        <f t="shared" si="15"/>
        <v>376</v>
      </c>
    </row>
    <row r="28" spans="1:17" x14ac:dyDescent="0.2">
      <c r="A28" s="282">
        <f t="shared" si="9"/>
        <v>0</v>
      </c>
      <c r="B28" s="299">
        <f t="shared" si="4"/>
        <v>0</v>
      </c>
      <c r="C28" s="300"/>
      <c r="D28" s="300">
        <f t="shared" si="5"/>
        <v>0</v>
      </c>
      <c r="E28" s="300">
        <f t="shared" si="2"/>
        <v>0</v>
      </c>
      <c r="F28" s="303"/>
      <c r="G28" s="300">
        <f t="shared" si="6"/>
        <v>0</v>
      </c>
      <c r="H28" s="302">
        <f t="shared" si="3"/>
        <v>0</v>
      </c>
      <c r="I28" s="280" t="str">
        <f t="shared" si="7"/>
        <v>Суббота</v>
      </c>
      <c r="J28" s="312">
        <f t="shared" si="16"/>
        <v>407</v>
      </c>
      <c r="K28" s="312">
        <f t="shared" si="10"/>
        <v>408</v>
      </c>
      <c r="L28" s="280">
        <f t="shared" si="11"/>
        <v>0</v>
      </c>
      <c r="M28" s="312">
        <f t="shared" si="12"/>
        <v>408</v>
      </c>
      <c r="N28" s="312">
        <f t="shared" si="13"/>
        <v>408</v>
      </c>
      <c r="O28" s="280">
        <f t="shared" si="14"/>
        <v>1</v>
      </c>
      <c r="P28" s="280">
        <f t="shared" si="8"/>
        <v>0</v>
      </c>
      <c r="Q28" s="312">
        <f t="shared" si="15"/>
        <v>408</v>
      </c>
    </row>
    <row r="29" spans="1:17" x14ac:dyDescent="0.2">
      <c r="A29" s="282">
        <f t="shared" si="9"/>
        <v>0</v>
      </c>
      <c r="B29" s="299">
        <f t="shared" si="4"/>
        <v>0</v>
      </c>
      <c r="C29" s="300"/>
      <c r="D29" s="300">
        <f t="shared" si="5"/>
        <v>0</v>
      </c>
      <c r="E29" s="300">
        <f t="shared" si="2"/>
        <v>0</v>
      </c>
      <c r="F29" s="303"/>
      <c r="G29" s="300">
        <f t="shared" si="6"/>
        <v>0</v>
      </c>
      <c r="H29" s="302">
        <f t="shared" si="3"/>
        <v>0</v>
      </c>
      <c r="I29" s="280" t="str">
        <f t="shared" si="7"/>
        <v>Суббота</v>
      </c>
      <c r="J29" s="312">
        <f t="shared" si="16"/>
        <v>435</v>
      </c>
      <c r="K29" s="312">
        <f t="shared" si="10"/>
        <v>436</v>
      </c>
      <c r="L29" s="280">
        <f t="shared" si="11"/>
        <v>0</v>
      </c>
      <c r="M29" s="312">
        <f t="shared" si="12"/>
        <v>436</v>
      </c>
      <c r="N29" s="312">
        <f t="shared" si="13"/>
        <v>436</v>
      </c>
      <c r="O29" s="280">
        <f t="shared" si="14"/>
        <v>1</v>
      </c>
      <c r="P29" s="280">
        <f t="shared" si="8"/>
        <v>0</v>
      </c>
      <c r="Q29" s="312">
        <f t="shared" si="15"/>
        <v>436</v>
      </c>
    </row>
    <row r="30" spans="1:17" x14ac:dyDescent="0.2">
      <c r="A30" s="282">
        <f t="shared" si="9"/>
        <v>0</v>
      </c>
      <c r="B30" s="299">
        <f t="shared" si="4"/>
        <v>0</v>
      </c>
      <c r="C30" s="300"/>
      <c r="D30" s="300">
        <f t="shared" si="5"/>
        <v>0</v>
      </c>
      <c r="E30" s="300">
        <f t="shared" si="2"/>
        <v>0</v>
      </c>
      <c r="F30" s="303"/>
      <c r="G30" s="300">
        <f t="shared" si="6"/>
        <v>0</v>
      </c>
      <c r="H30" s="302">
        <f t="shared" si="3"/>
        <v>0</v>
      </c>
      <c r="I30" s="280" t="str">
        <f t="shared" si="7"/>
        <v>Суббота</v>
      </c>
      <c r="J30" s="312">
        <f t="shared" si="16"/>
        <v>466</v>
      </c>
      <c r="K30" s="312">
        <f t="shared" si="10"/>
        <v>466</v>
      </c>
      <c r="L30" s="280">
        <f t="shared" si="11"/>
        <v>0</v>
      </c>
      <c r="M30" s="312">
        <f t="shared" si="12"/>
        <v>466</v>
      </c>
      <c r="N30" s="312">
        <f t="shared" si="13"/>
        <v>466</v>
      </c>
      <c r="O30" s="280">
        <f t="shared" si="14"/>
        <v>3</v>
      </c>
      <c r="P30" s="280">
        <f t="shared" si="8"/>
        <v>0</v>
      </c>
      <c r="Q30" s="312">
        <f t="shared" si="15"/>
        <v>466</v>
      </c>
    </row>
    <row r="31" spans="1:17" x14ac:dyDescent="0.2">
      <c r="A31" s="282">
        <f t="shared" si="9"/>
        <v>0</v>
      </c>
      <c r="B31" s="299">
        <f t="shared" si="4"/>
        <v>0</v>
      </c>
      <c r="C31" s="300"/>
      <c r="D31" s="300">
        <f t="shared" si="5"/>
        <v>0</v>
      </c>
      <c r="E31" s="300">
        <f t="shared" si="2"/>
        <v>0</v>
      </c>
      <c r="F31" s="303"/>
      <c r="G31" s="300">
        <f t="shared" si="6"/>
        <v>0</v>
      </c>
      <c r="H31" s="302">
        <f t="shared" si="3"/>
        <v>0</v>
      </c>
      <c r="I31" s="280" t="str">
        <f t="shared" si="7"/>
        <v>Суббота</v>
      </c>
      <c r="J31" s="312">
        <f t="shared" si="16"/>
        <v>496</v>
      </c>
      <c r="K31" s="312">
        <f t="shared" si="10"/>
        <v>496</v>
      </c>
      <c r="L31" s="280">
        <f t="shared" si="11"/>
        <v>0</v>
      </c>
      <c r="M31" s="312">
        <f t="shared" si="12"/>
        <v>496</v>
      </c>
      <c r="N31" s="312">
        <f t="shared" si="13"/>
        <v>496</v>
      </c>
      <c r="O31" s="280">
        <f t="shared" si="14"/>
        <v>5</v>
      </c>
      <c r="P31" s="280">
        <f t="shared" si="8"/>
        <v>0</v>
      </c>
      <c r="Q31" s="312">
        <f t="shared" si="15"/>
        <v>496</v>
      </c>
    </row>
    <row r="32" spans="1:17" x14ac:dyDescent="0.2">
      <c r="A32" s="282">
        <f t="shared" si="9"/>
        <v>0</v>
      </c>
      <c r="B32" s="299">
        <f t="shared" si="4"/>
        <v>0</v>
      </c>
      <c r="C32" s="300"/>
      <c r="D32" s="300">
        <f t="shared" si="5"/>
        <v>0</v>
      </c>
      <c r="E32" s="300">
        <f t="shared" si="2"/>
        <v>0</v>
      </c>
      <c r="F32" s="303"/>
      <c r="G32" s="300">
        <f t="shared" si="6"/>
        <v>0</v>
      </c>
      <c r="H32" s="302">
        <f t="shared" si="3"/>
        <v>0</v>
      </c>
      <c r="I32" s="280" t="str">
        <f t="shared" si="7"/>
        <v>Суббота</v>
      </c>
      <c r="J32" s="312">
        <f t="shared" si="16"/>
        <v>527</v>
      </c>
      <c r="K32" s="312">
        <f t="shared" si="10"/>
        <v>527</v>
      </c>
      <c r="L32" s="280">
        <f t="shared" si="11"/>
        <v>0</v>
      </c>
      <c r="M32" s="312">
        <f t="shared" si="12"/>
        <v>527</v>
      </c>
      <c r="N32" s="312">
        <f t="shared" si="13"/>
        <v>527</v>
      </c>
      <c r="O32" s="280">
        <f t="shared" si="14"/>
        <v>1</v>
      </c>
      <c r="P32" s="280">
        <f t="shared" si="8"/>
        <v>0</v>
      </c>
      <c r="Q32" s="312">
        <f t="shared" si="15"/>
        <v>527</v>
      </c>
    </row>
    <row r="33" spans="1:17" x14ac:dyDescent="0.2">
      <c r="A33" s="282">
        <f t="shared" si="9"/>
        <v>0</v>
      </c>
      <c r="B33" s="299">
        <f t="shared" si="4"/>
        <v>0</v>
      </c>
      <c r="C33" s="300"/>
      <c r="D33" s="300">
        <f t="shared" si="5"/>
        <v>0</v>
      </c>
      <c r="E33" s="300">
        <f t="shared" si="2"/>
        <v>0</v>
      </c>
      <c r="F33" s="303"/>
      <c r="G33" s="300">
        <f t="shared" si="6"/>
        <v>0</v>
      </c>
      <c r="H33" s="302">
        <f t="shared" si="3"/>
        <v>0</v>
      </c>
      <c r="I33" s="280" t="str">
        <f t="shared" si="7"/>
        <v>Суббота</v>
      </c>
      <c r="J33" s="312">
        <f t="shared" si="16"/>
        <v>557</v>
      </c>
      <c r="K33" s="312">
        <f t="shared" si="10"/>
        <v>557</v>
      </c>
      <c r="L33" s="280">
        <f t="shared" si="11"/>
        <v>0</v>
      </c>
      <c r="M33" s="312">
        <f t="shared" si="12"/>
        <v>557</v>
      </c>
      <c r="N33" s="312">
        <f t="shared" si="13"/>
        <v>557</v>
      </c>
      <c r="O33" s="280">
        <f t="shared" si="14"/>
        <v>3</v>
      </c>
      <c r="P33" s="280">
        <f t="shared" si="8"/>
        <v>0</v>
      </c>
      <c r="Q33" s="312">
        <f t="shared" si="15"/>
        <v>557</v>
      </c>
    </row>
    <row r="34" spans="1:17" x14ac:dyDescent="0.2">
      <c r="A34" s="282">
        <f t="shared" si="9"/>
        <v>0</v>
      </c>
      <c r="B34" s="299">
        <f t="shared" si="4"/>
        <v>0</v>
      </c>
      <c r="C34" s="300"/>
      <c r="D34" s="300">
        <f t="shared" si="5"/>
        <v>0</v>
      </c>
      <c r="E34" s="300">
        <f t="shared" si="2"/>
        <v>0</v>
      </c>
      <c r="F34" s="303"/>
      <c r="G34" s="300">
        <f t="shared" si="6"/>
        <v>0</v>
      </c>
      <c r="H34" s="302">
        <f t="shared" si="3"/>
        <v>0</v>
      </c>
      <c r="I34" s="280" t="str">
        <f t="shared" si="7"/>
        <v>Суббота</v>
      </c>
      <c r="J34" s="312">
        <f t="shared" si="16"/>
        <v>588</v>
      </c>
      <c r="K34" s="312">
        <f t="shared" si="10"/>
        <v>590</v>
      </c>
      <c r="L34" s="280">
        <f t="shared" si="11"/>
        <v>0</v>
      </c>
      <c r="M34" s="312">
        <f t="shared" si="12"/>
        <v>590</v>
      </c>
      <c r="N34" s="312">
        <f t="shared" si="13"/>
        <v>590</v>
      </c>
      <c r="O34" s="280">
        <f t="shared" si="14"/>
        <v>1</v>
      </c>
      <c r="P34" s="280">
        <f t="shared" si="8"/>
        <v>0</v>
      </c>
      <c r="Q34" s="312">
        <f t="shared" si="15"/>
        <v>590</v>
      </c>
    </row>
    <row r="35" spans="1:17" x14ac:dyDescent="0.2">
      <c r="A35" s="282">
        <f t="shared" si="9"/>
        <v>0</v>
      </c>
      <c r="B35" s="299">
        <f t="shared" si="4"/>
        <v>0</v>
      </c>
      <c r="C35" s="300"/>
      <c r="D35" s="300">
        <f t="shared" si="5"/>
        <v>0</v>
      </c>
      <c r="E35" s="300">
        <f t="shared" si="2"/>
        <v>0</v>
      </c>
      <c r="F35" s="303"/>
      <c r="G35" s="300">
        <f t="shared" si="6"/>
        <v>0</v>
      </c>
      <c r="H35" s="302">
        <f t="shared" si="3"/>
        <v>0</v>
      </c>
      <c r="I35" s="280" t="str">
        <f t="shared" si="7"/>
        <v>Суббота</v>
      </c>
      <c r="J35" s="312">
        <f t="shared" si="16"/>
        <v>619</v>
      </c>
      <c r="K35" s="312">
        <f t="shared" si="10"/>
        <v>619</v>
      </c>
      <c r="L35" s="280">
        <f t="shared" si="11"/>
        <v>0</v>
      </c>
      <c r="M35" s="312">
        <f t="shared" si="12"/>
        <v>619</v>
      </c>
      <c r="N35" s="312">
        <f t="shared" si="13"/>
        <v>619</v>
      </c>
      <c r="O35" s="280">
        <f t="shared" si="14"/>
        <v>2</v>
      </c>
      <c r="P35" s="280">
        <f t="shared" si="8"/>
        <v>0</v>
      </c>
      <c r="Q35" s="312">
        <f t="shared" si="15"/>
        <v>619</v>
      </c>
    </row>
    <row r="36" spans="1:17" x14ac:dyDescent="0.2">
      <c r="A36" s="282">
        <f t="shared" si="9"/>
        <v>0</v>
      </c>
      <c r="B36" s="299">
        <f t="shared" si="4"/>
        <v>0</v>
      </c>
      <c r="C36" s="300"/>
      <c r="D36" s="300">
        <f t="shared" si="5"/>
        <v>0</v>
      </c>
      <c r="E36" s="300">
        <f t="shared" si="2"/>
        <v>0</v>
      </c>
      <c r="F36" s="303"/>
      <c r="G36" s="300">
        <f t="shared" si="6"/>
        <v>0</v>
      </c>
      <c r="H36" s="302">
        <f t="shared" si="3"/>
        <v>0</v>
      </c>
      <c r="I36" s="280" t="str">
        <f t="shared" si="7"/>
        <v>Суббота</v>
      </c>
      <c r="J36" s="312">
        <f t="shared" si="16"/>
        <v>649</v>
      </c>
      <c r="K36" s="312">
        <f t="shared" si="10"/>
        <v>649</v>
      </c>
      <c r="L36" s="280">
        <f t="shared" si="11"/>
        <v>0</v>
      </c>
      <c r="M36" s="312">
        <f t="shared" si="12"/>
        <v>649</v>
      </c>
      <c r="N36" s="312">
        <f t="shared" si="13"/>
        <v>649</v>
      </c>
      <c r="O36" s="280">
        <f t="shared" si="14"/>
        <v>4</v>
      </c>
      <c r="P36" s="280">
        <f t="shared" si="8"/>
        <v>0</v>
      </c>
      <c r="Q36" s="312">
        <f t="shared" si="15"/>
        <v>649</v>
      </c>
    </row>
    <row r="37" spans="1:17" x14ac:dyDescent="0.2">
      <c r="A37" s="282">
        <f t="shared" si="9"/>
        <v>0</v>
      </c>
      <c r="B37" s="299">
        <f t="shared" si="4"/>
        <v>0</v>
      </c>
      <c r="C37" s="300"/>
      <c r="D37" s="300">
        <f t="shared" si="5"/>
        <v>0</v>
      </c>
      <c r="E37" s="300">
        <f t="shared" si="2"/>
        <v>0</v>
      </c>
      <c r="F37" s="303"/>
      <c r="G37" s="300">
        <f t="shared" si="6"/>
        <v>0</v>
      </c>
      <c r="H37" s="302">
        <f t="shared" si="3"/>
        <v>0</v>
      </c>
      <c r="I37" s="280" t="str">
        <f t="shared" si="7"/>
        <v>Суббота</v>
      </c>
      <c r="J37" s="312">
        <f t="shared" si="16"/>
        <v>680</v>
      </c>
      <c r="K37" s="312">
        <f t="shared" si="10"/>
        <v>681</v>
      </c>
      <c r="L37" s="280">
        <f t="shared" si="11"/>
        <v>0</v>
      </c>
      <c r="M37" s="312">
        <f t="shared" si="12"/>
        <v>681</v>
      </c>
      <c r="N37" s="312">
        <f t="shared" si="13"/>
        <v>681</v>
      </c>
      <c r="O37" s="280">
        <f t="shared" si="14"/>
        <v>1</v>
      </c>
      <c r="P37" s="280">
        <f t="shared" si="8"/>
        <v>0</v>
      </c>
      <c r="Q37" s="312">
        <f t="shared" si="15"/>
        <v>681</v>
      </c>
    </row>
    <row r="38" spans="1:17" x14ac:dyDescent="0.2">
      <c r="A38" s="282">
        <f t="shared" si="9"/>
        <v>0</v>
      </c>
      <c r="B38" s="299">
        <f t="shared" si="4"/>
        <v>0</v>
      </c>
      <c r="C38" s="300"/>
      <c r="D38" s="300">
        <f t="shared" si="5"/>
        <v>0</v>
      </c>
      <c r="E38" s="300">
        <f t="shared" si="2"/>
        <v>0</v>
      </c>
      <c r="F38" s="303"/>
      <c r="G38" s="300">
        <f t="shared" si="6"/>
        <v>0</v>
      </c>
      <c r="H38" s="302">
        <f t="shared" si="3"/>
        <v>0</v>
      </c>
      <c r="I38" s="280" t="str">
        <f t="shared" si="7"/>
        <v>Суббота</v>
      </c>
      <c r="J38" s="312">
        <f t="shared" si="16"/>
        <v>710</v>
      </c>
      <c r="K38" s="312">
        <f t="shared" si="10"/>
        <v>710</v>
      </c>
      <c r="L38" s="280">
        <f t="shared" si="11"/>
        <v>0</v>
      </c>
      <c r="M38" s="312">
        <f t="shared" si="12"/>
        <v>710</v>
      </c>
      <c r="N38" s="312">
        <f t="shared" si="13"/>
        <v>710</v>
      </c>
      <c r="O38" s="280">
        <f t="shared" si="14"/>
        <v>2</v>
      </c>
      <c r="P38" s="280">
        <f t="shared" si="8"/>
        <v>0</v>
      </c>
      <c r="Q38" s="312">
        <f t="shared" si="15"/>
        <v>710</v>
      </c>
    </row>
    <row r="39" spans="1:17" x14ac:dyDescent="0.2">
      <c r="A39" s="282">
        <f t="shared" si="9"/>
        <v>0</v>
      </c>
      <c r="B39" s="299">
        <f t="shared" si="4"/>
        <v>0</v>
      </c>
      <c r="C39" s="300"/>
      <c r="D39" s="300">
        <f t="shared" si="5"/>
        <v>0</v>
      </c>
      <c r="E39" s="300">
        <f t="shared" si="2"/>
        <v>0</v>
      </c>
      <c r="F39" s="303"/>
      <c r="G39" s="300">
        <f t="shared" si="6"/>
        <v>0</v>
      </c>
      <c r="H39" s="302">
        <f t="shared" si="3"/>
        <v>0</v>
      </c>
      <c r="I39" s="280" t="str">
        <f t="shared" si="7"/>
        <v>Суббота</v>
      </c>
      <c r="J39" s="312">
        <f t="shared" si="16"/>
        <v>741</v>
      </c>
      <c r="K39" s="312">
        <f t="shared" si="10"/>
        <v>741</v>
      </c>
      <c r="L39" s="280">
        <f t="shared" si="11"/>
        <v>0</v>
      </c>
      <c r="M39" s="312">
        <f t="shared" si="12"/>
        <v>741</v>
      </c>
      <c r="N39" s="312">
        <f t="shared" si="13"/>
        <v>741</v>
      </c>
      <c r="O39" s="280">
        <f t="shared" si="14"/>
        <v>5</v>
      </c>
      <c r="P39" s="280">
        <f t="shared" si="8"/>
        <v>0</v>
      </c>
      <c r="Q39" s="312">
        <f t="shared" si="15"/>
        <v>741</v>
      </c>
    </row>
    <row r="40" spans="1:17" x14ac:dyDescent="0.2">
      <c r="A40" s="282">
        <f t="shared" si="9"/>
        <v>0</v>
      </c>
      <c r="B40" s="299">
        <f t="shared" si="4"/>
        <v>0</v>
      </c>
      <c r="C40" s="300"/>
      <c r="D40" s="300">
        <f t="shared" si="5"/>
        <v>0</v>
      </c>
      <c r="E40" s="300">
        <f t="shared" si="2"/>
        <v>0</v>
      </c>
      <c r="F40" s="303"/>
      <c r="G40" s="300">
        <f t="shared" si="6"/>
        <v>0</v>
      </c>
      <c r="H40" s="302">
        <f t="shared" si="3"/>
        <v>0</v>
      </c>
      <c r="I40" s="280" t="str">
        <f t="shared" si="7"/>
        <v>Суббота</v>
      </c>
      <c r="J40" s="312">
        <f t="shared" si="16"/>
        <v>772</v>
      </c>
      <c r="K40" s="312">
        <f t="shared" si="10"/>
        <v>772</v>
      </c>
      <c r="L40" s="280">
        <f t="shared" si="11"/>
        <v>0</v>
      </c>
      <c r="M40" s="312">
        <f t="shared" si="12"/>
        <v>772</v>
      </c>
      <c r="N40" s="312">
        <f t="shared" si="13"/>
        <v>772</v>
      </c>
      <c r="O40" s="280">
        <f t="shared" si="14"/>
        <v>1</v>
      </c>
      <c r="P40" s="280">
        <f t="shared" si="8"/>
        <v>0</v>
      </c>
      <c r="Q40" s="312">
        <f t="shared" si="15"/>
        <v>772</v>
      </c>
    </row>
    <row r="41" spans="1:17" x14ac:dyDescent="0.2">
      <c r="A41" s="282">
        <f t="shared" si="9"/>
        <v>0</v>
      </c>
      <c r="B41" s="299">
        <f t="shared" si="4"/>
        <v>0</v>
      </c>
      <c r="C41" s="300"/>
      <c r="D41" s="300">
        <f t="shared" si="5"/>
        <v>0</v>
      </c>
      <c r="E41" s="300">
        <f t="shared" si="2"/>
        <v>0</v>
      </c>
      <c r="F41" s="303"/>
      <c r="G41" s="300">
        <f t="shared" si="6"/>
        <v>0</v>
      </c>
      <c r="H41" s="302">
        <f t="shared" si="3"/>
        <v>0</v>
      </c>
      <c r="I41" s="280" t="str">
        <f t="shared" si="7"/>
        <v>Суббота</v>
      </c>
      <c r="J41" s="312">
        <f t="shared" si="16"/>
        <v>800</v>
      </c>
      <c r="K41" s="312">
        <f t="shared" si="10"/>
        <v>800</v>
      </c>
      <c r="L41" s="280">
        <f t="shared" si="11"/>
        <v>0</v>
      </c>
      <c r="M41" s="312">
        <f t="shared" si="12"/>
        <v>800</v>
      </c>
      <c r="N41" s="312">
        <f t="shared" si="13"/>
        <v>800</v>
      </c>
      <c r="O41" s="280">
        <f t="shared" si="14"/>
        <v>1</v>
      </c>
      <c r="P41" s="280">
        <f t="shared" si="8"/>
        <v>0</v>
      </c>
      <c r="Q41" s="312">
        <f t="shared" si="15"/>
        <v>800</v>
      </c>
    </row>
    <row r="42" spans="1:17" x14ac:dyDescent="0.2">
      <c r="A42" s="282">
        <f t="shared" si="9"/>
        <v>0</v>
      </c>
      <c r="B42" s="299">
        <f t="shared" si="4"/>
        <v>0</v>
      </c>
      <c r="C42" s="300"/>
      <c r="D42" s="300">
        <f t="shared" si="5"/>
        <v>0</v>
      </c>
      <c r="E42" s="300">
        <f t="shared" si="2"/>
        <v>0</v>
      </c>
      <c r="F42" s="303"/>
      <c r="G42" s="300">
        <f t="shared" si="6"/>
        <v>0</v>
      </c>
      <c r="H42" s="302">
        <f t="shared" si="3"/>
        <v>0</v>
      </c>
      <c r="I42" s="280" t="str">
        <f t="shared" si="7"/>
        <v>Суббота</v>
      </c>
      <c r="J42" s="312">
        <f t="shared" si="16"/>
        <v>831</v>
      </c>
      <c r="K42" s="312">
        <f t="shared" si="10"/>
        <v>831</v>
      </c>
      <c r="L42" s="280">
        <f t="shared" si="11"/>
        <v>0</v>
      </c>
      <c r="M42" s="312">
        <f t="shared" si="12"/>
        <v>831</v>
      </c>
      <c r="N42" s="312">
        <f t="shared" si="13"/>
        <v>831</v>
      </c>
      <c r="O42" s="280">
        <f t="shared" si="14"/>
        <v>4</v>
      </c>
      <c r="P42" s="280">
        <f t="shared" si="8"/>
        <v>0</v>
      </c>
      <c r="Q42" s="312">
        <f t="shared" si="15"/>
        <v>831</v>
      </c>
    </row>
    <row r="43" spans="1:17" x14ac:dyDescent="0.2">
      <c r="A43" s="282">
        <f t="shared" si="9"/>
        <v>0</v>
      </c>
      <c r="B43" s="299">
        <f t="shared" si="4"/>
        <v>0</v>
      </c>
      <c r="C43" s="300"/>
      <c r="D43" s="300">
        <f t="shared" si="5"/>
        <v>0</v>
      </c>
      <c r="E43" s="300">
        <f t="shared" si="2"/>
        <v>0</v>
      </c>
      <c r="F43" s="303"/>
      <c r="G43" s="300">
        <f t="shared" si="6"/>
        <v>0</v>
      </c>
      <c r="H43" s="302">
        <f t="shared" si="3"/>
        <v>0</v>
      </c>
      <c r="I43" s="280" t="str">
        <f t="shared" si="7"/>
        <v>Суббота</v>
      </c>
      <c r="J43" s="312">
        <f t="shared" si="16"/>
        <v>861</v>
      </c>
      <c r="K43" s="312">
        <f t="shared" si="10"/>
        <v>863</v>
      </c>
      <c r="L43" s="280">
        <f t="shared" si="11"/>
        <v>0</v>
      </c>
      <c r="M43" s="312">
        <f t="shared" si="12"/>
        <v>863</v>
      </c>
      <c r="N43" s="312">
        <f t="shared" si="13"/>
        <v>863</v>
      </c>
      <c r="O43" s="280">
        <f t="shared" si="14"/>
        <v>1</v>
      </c>
      <c r="P43" s="280">
        <f t="shared" si="8"/>
        <v>0</v>
      </c>
      <c r="Q43" s="312">
        <f t="shared" si="15"/>
        <v>863</v>
      </c>
    </row>
    <row r="44" spans="1:17" x14ac:dyDescent="0.2">
      <c r="A44" s="282">
        <f t="shared" si="9"/>
        <v>0</v>
      </c>
      <c r="B44" s="299">
        <f t="shared" si="4"/>
        <v>0</v>
      </c>
      <c r="C44" s="300"/>
      <c r="D44" s="300">
        <f t="shared" si="5"/>
        <v>0</v>
      </c>
      <c r="E44" s="300">
        <f t="shared" si="2"/>
        <v>0</v>
      </c>
      <c r="F44" s="303"/>
      <c r="G44" s="300">
        <f t="shared" si="6"/>
        <v>0</v>
      </c>
      <c r="H44" s="302">
        <f t="shared" si="3"/>
        <v>0</v>
      </c>
      <c r="I44" s="280" t="str">
        <f t="shared" si="7"/>
        <v>Суббота</v>
      </c>
      <c r="J44" s="312">
        <f t="shared" si="16"/>
        <v>892</v>
      </c>
      <c r="K44" s="312">
        <f t="shared" si="10"/>
        <v>892</v>
      </c>
      <c r="L44" s="280">
        <f t="shared" si="11"/>
        <v>0</v>
      </c>
      <c r="M44" s="312">
        <f t="shared" si="12"/>
        <v>892</v>
      </c>
      <c r="N44" s="312">
        <f t="shared" si="13"/>
        <v>892</v>
      </c>
      <c r="O44" s="280">
        <f t="shared" si="14"/>
        <v>2</v>
      </c>
      <c r="P44" s="280">
        <f t="shared" si="8"/>
        <v>0</v>
      </c>
      <c r="Q44" s="312">
        <f t="shared" si="15"/>
        <v>892</v>
      </c>
    </row>
    <row r="45" spans="1:17" x14ac:dyDescent="0.2">
      <c r="A45" s="282">
        <f t="shared" si="9"/>
        <v>0</v>
      </c>
      <c r="B45" s="299">
        <f t="shared" si="4"/>
        <v>0</v>
      </c>
      <c r="C45" s="300"/>
      <c r="D45" s="300">
        <f t="shared" si="5"/>
        <v>0</v>
      </c>
      <c r="E45" s="300">
        <f t="shared" si="2"/>
        <v>0</v>
      </c>
      <c r="F45" s="303"/>
      <c r="G45" s="300">
        <f t="shared" si="6"/>
        <v>0</v>
      </c>
      <c r="H45" s="302">
        <f t="shared" si="3"/>
        <v>0</v>
      </c>
      <c r="I45" s="280" t="str">
        <f t="shared" si="7"/>
        <v>Суббота</v>
      </c>
      <c r="J45" s="312">
        <f t="shared" si="16"/>
        <v>922</v>
      </c>
      <c r="K45" s="312">
        <f t="shared" si="10"/>
        <v>922</v>
      </c>
      <c r="L45" s="280">
        <f t="shared" si="11"/>
        <v>0</v>
      </c>
      <c r="M45" s="312">
        <f t="shared" si="12"/>
        <v>922</v>
      </c>
      <c r="N45" s="312">
        <f t="shared" si="13"/>
        <v>922</v>
      </c>
      <c r="O45" s="280">
        <f t="shared" si="14"/>
        <v>4</v>
      </c>
      <c r="P45" s="280">
        <f t="shared" si="8"/>
        <v>0</v>
      </c>
      <c r="Q45" s="312">
        <f t="shared" si="15"/>
        <v>922</v>
      </c>
    </row>
    <row r="46" spans="1:17" x14ac:dyDescent="0.2">
      <c r="A46" s="282">
        <f t="shared" si="9"/>
        <v>0</v>
      </c>
      <c r="B46" s="299">
        <f t="shared" si="4"/>
        <v>0</v>
      </c>
      <c r="C46" s="300"/>
      <c r="D46" s="300">
        <f t="shared" si="5"/>
        <v>0</v>
      </c>
      <c r="E46" s="300">
        <f t="shared" si="2"/>
        <v>0</v>
      </c>
      <c r="F46" s="303"/>
      <c r="G46" s="300">
        <f t="shared" si="6"/>
        <v>0</v>
      </c>
      <c r="H46" s="302">
        <f t="shared" si="3"/>
        <v>0</v>
      </c>
      <c r="I46" s="280" t="str">
        <f t="shared" si="7"/>
        <v>Суббота</v>
      </c>
      <c r="J46" s="312">
        <f t="shared" si="16"/>
        <v>953</v>
      </c>
      <c r="K46" s="312">
        <f t="shared" si="10"/>
        <v>954</v>
      </c>
      <c r="L46" s="280">
        <f t="shared" si="11"/>
        <v>0</v>
      </c>
      <c r="M46" s="312">
        <f t="shared" si="12"/>
        <v>954</v>
      </c>
      <c r="N46" s="312">
        <f t="shared" si="13"/>
        <v>954</v>
      </c>
      <c r="O46" s="280">
        <f t="shared" si="14"/>
        <v>1</v>
      </c>
      <c r="P46" s="280">
        <f t="shared" si="8"/>
        <v>0</v>
      </c>
      <c r="Q46" s="312">
        <f t="shared" si="15"/>
        <v>954</v>
      </c>
    </row>
    <row r="47" spans="1:17" x14ac:dyDescent="0.2">
      <c r="A47" s="282">
        <f t="shared" si="9"/>
        <v>0</v>
      </c>
      <c r="B47" s="299">
        <f t="shared" si="4"/>
        <v>0</v>
      </c>
      <c r="C47" s="300"/>
      <c r="D47" s="300">
        <f t="shared" si="5"/>
        <v>0</v>
      </c>
      <c r="E47" s="300">
        <f t="shared" si="2"/>
        <v>0</v>
      </c>
      <c r="F47" s="303"/>
      <c r="G47" s="300">
        <f t="shared" si="6"/>
        <v>0</v>
      </c>
      <c r="H47" s="302">
        <f t="shared" si="3"/>
        <v>0</v>
      </c>
      <c r="I47" s="280" t="str">
        <f t="shared" si="7"/>
        <v>Суббота</v>
      </c>
      <c r="J47" s="312">
        <f t="shared" si="16"/>
        <v>984</v>
      </c>
      <c r="K47" s="312">
        <f t="shared" si="10"/>
        <v>984</v>
      </c>
      <c r="L47" s="280">
        <f t="shared" si="11"/>
        <v>0</v>
      </c>
      <c r="M47" s="312">
        <f t="shared" si="12"/>
        <v>984</v>
      </c>
      <c r="N47" s="312">
        <f t="shared" si="13"/>
        <v>984</v>
      </c>
      <c r="O47" s="280">
        <f t="shared" si="14"/>
        <v>3</v>
      </c>
      <c r="P47" s="280">
        <f t="shared" si="8"/>
        <v>0</v>
      </c>
      <c r="Q47" s="312">
        <f t="shared" si="15"/>
        <v>984</v>
      </c>
    </row>
    <row r="48" spans="1:17" x14ac:dyDescent="0.2">
      <c r="A48" s="282">
        <f t="shared" si="9"/>
        <v>0</v>
      </c>
      <c r="B48" s="299">
        <f t="shared" si="4"/>
        <v>0</v>
      </c>
      <c r="C48" s="300"/>
      <c r="D48" s="300">
        <f t="shared" si="5"/>
        <v>0</v>
      </c>
      <c r="E48" s="300">
        <f t="shared" si="2"/>
        <v>0</v>
      </c>
      <c r="F48" s="303"/>
      <c r="G48" s="300">
        <f t="shared" si="6"/>
        <v>0</v>
      </c>
      <c r="H48" s="302">
        <f t="shared" si="3"/>
        <v>0</v>
      </c>
      <c r="I48" s="280" t="str">
        <f t="shared" si="7"/>
        <v>Суббота</v>
      </c>
      <c r="J48" s="312">
        <f t="shared" si="16"/>
        <v>1014</v>
      </c>
      <c r="K48" s="312">
        <f t="shared" si="10"/>
        <v>1014</v>
      </c>
      <c r="L48" s="280">
        <f t="shared" si="11"/>
        <v>0</v>
      </c>
      <c r="M48" s="312">
        <f t="shared" si="12"/>
        <v>1014</v>
      </c>
      <c r="N48" s="312">
        <f t="shared" si="13"/>
        <v>1014</v>
      </c>
      <c r="O48" s="280">
        <f t="shared" si="14"/>
        <v>5</v>
      </c>
      <c r="P48" s="280">
        <f t="shared" si="8"/>
        <v>0</v>
      </c>
      <c r="Q48" s="312">
        <f t="shared" si="15"/>
        <v>1014</v>
      </c>
    </row>
    <row r="49" spans="1:17" x14ac:dyDescent="0.2">
      <c r="A49" s="282">
        <f t="shared" si="9"/>
        <v>0</v>
      </c>
      <c r="B49" s="299">
        <f t="shared" si="4"/>
        <v>0</v>
      </c>
      <c r="C49" s="300"/>
      <c r="D49" s="300">
        <f t="shared" si="5"/>
        <v>0</v>
      </c>
      <c r="E49" s="300">
        <f t="shared" si="2"/>
        <v>0</v>
      </c>
      <c r="F49" s="303"/>
      <c r="G49" s="300">
        <f t="shared" si="6"/>
        <v>0</v>
      </c>
      <c r="H49" s="302">
        <f t="shared" si="3"/>
        <v>0</v>
      </c>
      <c r="I49" s="280" t="str">
        <f t="shared" si="7"/>
        <v>Суббота</v>
      </c>
      <c r="J49" s="312">
        <f t="shared" si="16"/>
        <v>1045</v>
      </c>
      <c r="K49" s="312">
        <f t="shared" si="10"/>
        <v>1045</v>
      </c>
      <c r="L49" s="280">
        <f t="shared" si="11"/>
        <v>0</v>
      </c>
      <c r="M49" s="312">
        <f t="shared" si="12"/>
        <v>1045</v>
      </c>
      <c r="N49" s="312">
        <f t="shared" si="13"/>
        <v>1045</v>
      </c>
      <c r="O49" s="280">
        <f t="shared" si="14"/>
        <v>1</v>
      </c>
      <c r="P49" s="280">
        <f t="shared" si="8"/>
        <v>0</v>
      </c>
      <c r="Q49" s="312">
        <f t="shared" si="15"/>
        <v>1045</v>
      </c>
    </row>
    <row r="50" spans="1:17" x14ac:dyDescent="0.2">
      <c r="A50" s="282">
        <f t="shared" si="9"/>
        <v>0</v>
      </c>
      <c r="B50" s="299">
        <f t="shared" si="4"/>
        <v>0</v>
      </c>
      <c r="C50" s="300"/>
      <c r="D50" s="300">
        <f t="shared" si="5"/>
        <v>0</v>
      </c>
      <c r="E50" s="300">
        <f t="shared" si="2"/>
        <v>0</v>
      </c>
      <c r="F50" s="303"/>
      <c r="G50" s="300">
        <f t="shared" si="6"/>
        <v>0</v>
      </c>
      <c r="H50" s="302">
        <f t="shared" si="3"/>
        <v>0</v>
      </c>
      <c r="I50" s="280" t="str">
        <f t="shared" si="7"/>
        <v>Суббота</v>
      </c>
      <c r="J50" s="312">
        <f t="shared" si="16"/>
        <v>1075</v>
      </c>
      <c r="K50" s="312">
        <f t="shared" si="10"/>
        <v>1075</v>
      </c>
      <c r="L50" s="280">
        <f t="shared" si="11"/>
        <v>0</v>
      </c>
      <c r="M50" s="312">
        <f t="shared" si="12"/>
        <v>1075</v>
      </c>
      <c r="N50" s="312">
        <f t="shared" si="13"/>
        <v>1075</v>
      </c>
      <c r="O50" s="280">
        <f t="shared" si="14"/>
        <v>3</v>
      </c>
      <c r="P50" s="280">
        <f t="shared" si="8"/>
        <v>0</v>
      </c>
      <c r="Q50" s="312">
        <f t="shared" si="15"/>
        <v>1075</v>
      </c>
    </row>
    <row r="51" spans="1:17" x14ac:dyDescent="0.2">
      <c r="A51" s="282">
        <f t="shared" si="9"/>
        <v>0</v>
      </c>
      <c r="B51" s="299">
        <f t="shared" si="4"/>
        <v>0</v>
      </c>
      <c r="C51" s="300"/>
      <c r="D51" s="300">
        <f t="shared" si="5"/>
        <v>0</v>
      </c>
      <c r="E51" s="300">
        <f t="shared" si="2"/>
        <v>0</v>
      </c>
      <c r="F51" s="303"/>
      <c r="G51" s="300">
        <f t="shared" si="6"/>
        <v>0</v>
      </c>
      <c r="H51" s="302">
        <f t="shared" si="3"/>
        <v>0</v>
      </c>
      <c r="I51" s="280" t="str">
        <f t="shared" si="7"/>
        <v>Суббота</v>
      </c>
      <c r="J51" s="312">
        <f t="shared" si="16"/>
        <v>1106</v>
      </c>
      <c r="K51" s="312">
        <f t="shared" si="10"/>
        <v>1108</v>
      </c>
      <c r="L51" s="280">
        <f t="shared" si="11"/>
        <v>0</v>
      </c>
      <c r="M51" s="312">
        <f t="shared" si="12"/>
        <v>1108</v>
      </c>
      <c r="N51" s="312">
        <f t="shared" si="13"/>
        <v>1108</v>
      </c>
      <c r="O51" s="280">
        <f t="shared" si="14"/>
        <v>1</v>
      </c>
      <c r="P51" s="280">
        <f t="shared" si="8"/>
        <v>0</v>
      </c>
      <c r="Q51" s="312">
        <f t="shared" si="15"/>
        <v>1108</v>
      </c>
    </row>
    <row r="52" spans="1:17" ht="12" thickBot="1" x14ac:dyDescent="0.25">
      <c r="A52" s="282">
        <f t="shared" si="9"/>
        <v>0</v>
      </c>
      <c r="B52" s="299">
        <f t="shared" si="4"/>
        <v>0</v>
      </c>
      <c r="C52" s="300"/>
      <c r="D52" s="300">
        <f t="shared" si="5"/>
        <v>0</v>
      </c>
      <c r="E52" s="300">
        <f t="shared" si="2"/>
        <v>0</v>
      </c>
      <c r="F52" s="304"/>
      <c r="G52" s="300">
        <f t="shared" si="6"/>
        <v>0</v>
      </c>
      <c r="H52" s="302">
        <f t="shared" si="3"/>
        <v>0</v>
      </c>
      <c r="I52" s="280" t="str">
        <f t="shared" si="7"/>
        <v>Суббота</v>
      </c>
      <c r="J52" s="312">
        <f t="shared" si="16"/>
        <v>1137</v>
      </c>
      <c r="K52" s="312">
        <f t="shared" si="10"/>
        <v>1137</v>
      </c>
      <c r="L52" s="280">
        <f t="shared" si="11"/>
        <v>0</v>
      </c>
      <c r="M52" s="312">
        <f t="shared" si="12"/>
        <v>1137</v>
      </c>
      <c r="N52" s="312">
        <f t="shared" si="13"/>
        <v>1137</v>
      </c>
      <c r="O52" s="280">
        <f t="shared" si="14"/>
        <v>2</v>
      </c>
      <c r="P52" s="280">
        <f t="shared" si="8"/>
        <v>0</v>
      </c>
      <c r="Q52" s="312">
        <f t="shared" si="15"/>
        <v>1137</v>
      </c>
    </row>
    <row r="53" spans="1:17" ht="12" thickBot="1" x14ac:dyDescent="0.25">
      <c r="A53" s="995" t="s">
        <v>812</v>
      </c>
      <c r="B53" s="996"/>
      <c r="C53" s="997"/>
      <c r="D53" s="305">
        <f>SUM(D15:D52)</f>
        <v>0</v>
      </c>
      <c r="E53" s="306">
        <f>SUM(E15:E52)</f>
        <v>0</v>
      </c>
      <c r="F53" s="307">
        <f>SUM(F15:F52)</f>
        <v>0</v>
      </c>
      <c r="G53" s="308"/>
      <c r="H53" s="301"/>
      <c r="K53" s="312"/>
      <c r="M53" s="312"/>
      <c r="N53" s="312"/>
      <c r="Q53" s="312"/>
    </row>
    <row r="54" spans="1:17" x14ac:dyDescent="0.2">
      <c r="A54" s="309"/>
      <c r="B54" s="309"/>
      <c r="C54" s="309"/>
      <c r="D54" s="310"/>
      <c r="E54" s="310">
        <f>E53-D53</f>
        <v>0</v>
      </c>
      <c r="F54" s="310"/>
      <c r="G54" s="310"/>
      <c r="H54" s="311"/>
      <c r="K54" s="312"/>
      <c r="M54" s="312"/>
      <c r="N54" s="312"/>
      <c r="Q54" s="312"/>
    </row>
  </sheetData>
  <mergeCells count="20">
    <mergeCell ref="A11:D11"/>
    <mergeCell ref="E11:H11"/>
    <mergeCell ref="A53:C53"/>
    <mergeCell ref="A6:D6"/>
    <mergeCell ref="E6:H6"/>
    <mergeCell ref="A7:D7"/>
    <mergeCell ref="E7:H7"/>
    <mergeCell ref="E9:H9"/>
    <mergeCell ref="A10:D10"/>
    <mergeCell ref="E10:H10"/>
    <mergeCell ref="A2:H2"/>
    <mergeCell ref="A8:D8"/>
    <mergeCell ref="E8:H8"/>
    <mergeCell ref="A9:D9"/>
    <mergeCell ref="A3:D3"/>
    <mergeCell ref="E3:H3"/>
    <mergeCell ref="A4:D4"/>
    <mergeCell ref="E4:H4"/>
    <mergeCell ref="A5:D5"/>
    <mergeCell ref="E5:H5"/>
  </mergeCells>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5</vt:i4>
      </vt:variant>
    </vt:vector>
  </HeadingPairs>
  <TitlesOfParts>
    <vt:vector size="22" baseType="lpstr">
      <vt:lpstr>Заявка</vt:lpstr>
      <vt:lpstr>Обязательства</vt:lpstr>
      <vt:lpstr>Баланс</vt:lpstr>
      <vt:lpstr>ОПУ</vt:lpstr>
      <vt:lpstr>ГЭП</vt:lpstr>
      <vt:lpstr>Портфель</vt:lpstr>
      <vt:lpstr>Продукты</vt:lpstr>
      <vt:lpstr>PAR</vt:lpstr>
      <vt:lpstr>График</vt:lpstr>
      <vt:lpstr>Памятка Заемщика</vt:lpstr>
      <vt:lpstr>Лист1</vt:lpstr>
      <vt:lpstr>Заключение УКП</vt:lpstr>
      <vt:lpstr>Коэф-ты</vt:lpstr>
      <vt:lpstr>Cash Flow</vt:lpstr>
      <vt:lpstr>PConcentration</vt:lpstr>
      <vt:lpstr>Graphs</vt:lpstr>
      <vt:lpstr>L</vt:lpstr>
      <vt:lpstr>Заявка!Область_печати</vt:lpstr>
      <vt:lpstr>L!Флажок11</vt:lpstr>
      <vt:lpstr>L!Флажок6</vt:lpstr>
      <vt:lpstr>L!Флажок7</vt:lpstr>
      <vt:lpstr>L!Флажок9</vt:lpstr>
    </vt:vector>
  </TitlesOfParts>
  <Company>AgFin+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Timur</dc:creator>
  <cp:lastModifiedBy>Urmat Sarpekov</cp:lastModifiedBy>
  <cp:lastPrinted>2009-02-27T08:30:12Z</cp:lastPrinted>
  <dcterms:created xsi:type="dcterms:W3CDTF">2006-05-04T12:12:24Z</dcterms:created>
  <dcterms:modified xsi:type="dcterms:W3CDTF">2016-11-01T04:16:18Z</dcterms:modified>
</cp:coreProperties>
</file>